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ЛОЙКО КГ\! NAL(F)\! Сайт, соцсети\Новость_26012022\"/>
    </mc:Choice>
  </mc:AlternateContent>
  <workbookProtection workbookAlgorithmName="SHA-512" workbookHashValue="Zpp9RWAZig1rP9ti7o1K6AU+AKDReytJY1fs8Bm5PksqRW0WnFp33lmWGOxk0YiJXN/LXFw6FPfY08a6UUlhGg==" workbookSaltValue="UIHz2tsEgrSGsVEQ+8jD1g==" workbookSpinCount="100000" lockStructure="1"/>
  <bookViews>
    <workbookView xWindow="0" yWindow="0" windowWidth="11400" windowHeight="5895" tabRatio="648"/>
  </bookViews>
  <sheets>
    <sheet name="Опросный лист 1 (заполняется)" sheetId="6" r:id="rId1"/>
    <sheet name="Опросный лист 2 (заполняется)" sheetId="10" r:id="rId2"/>
    <sheet name="Опросный лист 3 (заполняется)" sheetId="11" r:id="rId3"/>
    <sheet name="ЗАКАЗНАЯ СПЕЦИФИКАЦИЯ" sheetId="7" r:id="rId4"/>
    <sheet name="-" sheetId="5" state="hidden" r:id="rId5"/>
  </sheets>
  <definedNames>
    <definedName name="_xlnm._FilterDatabase" localSheetId="3" hidden="1">'ЗАКАЗНАЯ СПЕЦИФИКАЦИЯ'!$A$1:$E$27</definedName>
    <definedName name="_xlnm.Print_Area" localSheetId="0">'Опросный лист 1 (заполняется)'!$A$1:$S$57</definedName>
    <definedName name="_xlnm.Print_Area" localSheetId="1">'Опросный лист 2 (заполняется)'!$A$1:$S$57</definedName>
    <definedName name="_xlnm.Print_Area" localSheetId="2">'Опросный лист 3 (заполняется)'!$A$1:$S$57</definedName>
  </definedNames>
  <calcPr calcId="162913"/>
</workbook>
</file>

<file path=xl/calcChain.xml><?xml version="1.0" encoding="utf-8"?>
<calcChain xmlns="http://schemas.openxmlformats.org/spreadsheetml/2006/main">
  <c r="B63" i="7" l="1"/>
  <c r="B36" i="7"/>
  <c r="N47" i="11"/>
  <c r="O46" i="11" s="1"/>
  <c r="N45" i="11"/>
  <c r="N47" i="10"/>
  <c r="O46" i="10" s="1"/>
  <c r="N45" i="10"/>
  <c r="Q35" i="11"/>
  <c r="O34" i="11"/>
  <c r="Q35" i="10"/>
  <c r="O34" i="10"/>
  <c r="Q35" i="6" l="1"/>
  <c r="B36" i="6" l="1"/>
  <c r="B36" i="10"/>
  <c r="B36" i="11"/>
  <c r="C40" i="6"/>
  <c r="C40" i="10"/>
  <c r="C40" i="11"/>
  <c r="C40" i="7"/>
  <c r="B58" i="7"/>
  <c r="B80" i="7" s="1"/>
  <c r="Q53" i="11"/>
  <c r="O53" i="11"/>
  <c r="C51" i="11"/>
  <c r="H52" i="11" s="1"/>
  <c r="I43" i="11"/>
  <c r="N44" i="11" s="1"/>
  <c r="C43" i="11"/>
  <c r="H42" i="11" s="1"/>
  <c r="O41" i="11"/>
  <c r="R41" i="11" s="1"/>
  <c r="O39" i="11"/>
  <c r="R40" i="11" s="1"/>
  <c r="R37" i="11"/>
  <c r="I34" i="11"/>
  <c r="N38" i="11" s="1"/>
  <c r="C34" i="11"/>
  <c r="H38" i="11" s="1"/>
  <c r="G31" i="11"/>
  <c r="P24" i="11"/>
  <c r="R23" i="11"/>
  <c r="M18" i="11"/>
  <c r="Q17" i="11"/>
  <c r="P17" i="11"/>
  <c r="N17" i="11"/>
  <c r="M17" i="11"/>
  <c r="K17" i="11"/>
  <c r="J17" i="11"/>
  <c r="G17" i="11"/>
  <c r="B31" i="7"/>
  <c r="A31" i="7" s="1"/>
  <c r="Q53" i="10"/>
  <c r="O53" i="10"/>
  <c r="C51" i="10"/>
  <c r="H52" i="10" s="1"/>
  <c r="I43" i="10"/>
  <c r="N44" i="10" s="1"/>
  <c r="C43" i="10"/>
  <c r="H42" i="10" s="1"/>
  <c r="R42" i="10"/>
  <c r="O41" i="10"/>
  <c r="R41" i="10" s="1"/>
  <c r="O39" i="10"/>
  <c r="R40" i="10" s="1"/>
  <c r="R37" i="10"/>
  <c r="I34" i="10"/>
  <c r="N38" i="10" s="1"/>
  <c r="C34" i="10"/>
  <c r="H38" i="10" s="1"/>
  <c r="G31" i="10"/>
  <c r="P24" i="10"/>
  <c r="R23" i="10"/>
  <c r="M18" i="10"/>
  <c r="Q17" i="10"/>
  <c r="P17" i="10"/>
  <c r="N17" i="10"/>
  <c r="M17" i="10"/>
  <c r="K17" i="10"/>
  <c r="J17" i="10"/>
  <c r="G17" i="10"/>
  <c r="O41" i="6"/>
  <c r="R41" i="6" s="1"/>
  <c r="O39" i="6"/>
  <c r="R40" i="6" s="1"/>
  <c r="R42" i="11" l="1"/>
  <c r="N42" i="11"/>
  <c r="N41" i="11"/>
  <c r="N34" i="11"/>
  <c r="N35" i="11"/>
  <c r="N36" i="11"/>
  <c r="N32" i="11"/>
  <c r="N33" i="11"/>
  <c r="R39" i="11"/>
  <c r="D80" i="7"/>
  <c r="E80" i="7"/>
  <c r="B67" i="7"/>
  <c r="D67" i="7" s="1"/>
  <c r="B74" i="7"/>
  <c r="D74" i="7" s="1"/>
  <c r="B59" i="7"/>
  <c r="E59" i="7" s="1"/>
  <c r="B62" i="7"/>
  <c r="D62" i="7" s="1"/>
  <c r="B78" i="7"/>
  <c r="C78" i="7" s="1"/>
  <c r="H46" i="11"/>
  <c r="N41" i="10"/>
  <c r="N42" i="10"/>
  <c r="N35" i="10"/>
  <c r="N34" i="10"/>
  <c r="N36" i="10"/>
  <c r="N32" i="10"/>
  <c r="N33" i="10"/>
  <c r="B35" i="7"/>
  <c r="B44" i="7"/>
  <c r="A44" i="7" s="1"/>
  <c r="B46" i="7"/>
  <c r="A46" i="7" s="1"/>
  <c r="B32" i="7"/>
  <c r="C32" i="7" s="1"/>
  <c r="B47" i="7"/>
  <c r="B40" i="7"/>
  <c r="A40" i="7" s="1"/>
  <c r="C31" i="7"/>
  <c r="B51" i="7"/>
  <c r="B53" i="7"/>
  <c r="B41" i="7"/>
  <c r="D31" i="7"/>
  <c r="B42" i="7"/>
  <c r="E31" i="7"/>
  <c r="B33" i="7"/>
  <c r="B50" i="7"/>
  <c r="H46" i="10"/>
  <c r="B52" i="7"/>
  <c r="E52" i="7" s="1"/>
  <c r="C80" i="7"/>
  <c r="C58" i="7"/>
  <c r="E58" i="7"/>
  <c r="A58" i="7"/>
  <c r="D58" i="7"/>
  <c r="R32" i="11"/>
  <c r="H41" i="11"/>
  <c r="H43" i="11"/>
  <c r="R33" i="11"/>
  <c r="N43" i="11"/>
  <c r="H44" i="11"/>
  <c r="K18" i="11" s="1"/>
  <c r="A42" i="7"/>
  <c r="R39" i="10"/>
  <c r="R32" i="10"/>
  <c r="H41" i="10"/>
  <c r="H43" i="10"/>
  <c r="R33" i="10"/>
  <c r="N43" i="10"/>
  <c r="H44" i="10"/>
  <c r="K18" i="10" s="1"/>
  <c r="R39" i="6"/>
  <c r="R42" i="6"/>
  <c r="C63" i="7" l="1"/>
  <c r="B68" i="7"/>
  <c r="D68" i="7" s="1"/>
  <c r="B79" i="7"/>
  <c r="E79" i="7" s="1"/>
  <c r="B77" i="7"/>
  <c r="D77" i="7" s="1"/>
  <c r="B60" i="7"/>
  <c r="C60" i="7" s="1"/>
  <c r="B69" i="7"/>
  <c r="C69" i="7" s="1"/>
  <c r="E67" i="7"/>
  <c r="C67" i="7"/>
  <c r="C74" i="7"/>
  <c r="D59" i="7"/>
  <c r="C59" i="7"/>
  <c r="A59" i="7"/>
  <c r="A67" i="7"/>
  <c r="R54" i="11"/>
  <c r="E78" i="7"/>
  <c r="D78" i="7"/>
  <c r="E62" i="7"/>
  <c r="C62" i="7"/>
  <c r="E74" i="7"/>
  <c r="E44" i="7"/>
  <c r="C52" i="7"/>
  <c r="A32" i="7"/>
  <c r="A33" i="7" s="1"/>
  <c r="D52" i="7"/>
  <c r="E32" i="7"/>
  <c r="D46" i="7"/>
  <c r="C46" i="7"/>
  <c r="E46" i="7"/>
  <c r="C51" i="7"/>
  <c r="E51" i="7"/>
  <c r="D51" i="7"/>
  <c r="D44" i="7"/>
  <c r="C44" i="7"/>
  <c r="E40" i="7"/>
  <c r="D40" i="7"/>
  <c r="C36" i="7"/>
  <c r="E36" i="7"/>
  <c r="D36" i="7"/>
  <c r="E42" i="7"/>
  <c r="C42" i="7"/>
  <c r="D42" i="7"/>
  <c r="C47" i="7"/>
  <c r="E47" i="7"/>
  <c r="D47" i="7"/>
  <c r="E41" i="7"/>
  <c r="D41" i="7"/>
  <c r="C41" i="7"/>
  <c r="A41" i="7"/>
  <c r="D32" i="7"/>
  <c r="E53" i="7"/>
  <c r="D53" i="7"/>
  <c r="C53" i="7"/>
  <c r="D35" i="7"/>
  <c r="C35" i="7"/>
  <c r="E35" i="7"/>
  <c r="D50" i="7"/>
  <c r="E50" i="7"/>
  <c r="C50" i="7"/>
  <c r="R54" i="10"/>
  <c r="B38" i="7"/>
  <c r="D33" i="7"/>
  <c r="B45" i="7"/>
  <c r="E33" i="7"/>
  <c r="B43" i="7"/>
  <c r="B34" i="7"/>
  <c r="A34" i="7" s="1"/>
  <c r="A35" i="7" s="1"/>
  <c r="A36" i="7" s="1"/>
  <c r="B49" i="7"/>
  <c r="C33" i="7"/>
  <c r="B48" i="7"/>
  <c r="O53" i="6"/>
  <c r="Q53" i="6"/>
  <c r="B71" i="7" l="1"/>
  <c r="E71" i="7" s="1"/>
  <c r="B75" i="7"/>
  <c r="E75" i="7" s="1"/>
  <c r="B70" i="7"/>
  <c r="C70" i="7" s="1"/>
  <c r="B72" i="7"/>
  <c r="C72" i="7" s="1"/>
  <c r="A60" i="7"/>
  <c r="B73" i="7"/>
  <c r="C73" i="7" s="1"/>
  <c r="D63" i="7"/>
  <c r="E63" i="7"/>
  <c r="D60" i="7"/>
  <c r="B65" i="7"/>
  <c r="C65" i="7" s="1"/>
  <c r="E60" i="7"/>
  <c r="C79" i="7"/>
  <c r="D79" i="7"/>
  <c r="C68" i="7"/>
  <c r="E68" i="7"/>
  <c r="A68" i="7"/>
  <c r="D69" i="7"/>
  <c r="E69" i="7"/>
  <c r="A69" i="7"/>
  <c r="B76" i="7"/>
  <c r="D76" i="7" s="1"/>
  <c r="B61" i="7"/>
  <c r="E61" i="7" s="1"/>
  <c r="D71" i="7"/>
  <c r="C77" i="7"/>
  <c r="A71" i="7"/>
  <c r="E77" i="7"/>
  <c r="E45" i="7"/>
  <c r="C45" i="7"/>
  <c r="D45" i="7"/>
  <c r="B39" i="7"/>
  <c r="C38" i="7"/>
  <c r="D38" i="7"/>
  <c r="D39" i="7" s="1"/>
  <c r="E38" i="7"/>
  <c r="D49" i="7"/>
  <c r="E49" i="7"/>
  <c r="C49" i="7"/>
  <c r="C48" i="7"/>
  <c r="D48" i="7"/>
  <c r="E48" i="7"/>
  <c r="D34" i="7"/>
  <c r="B37" i="7"/>
  <c r="E34" i="7"/>
  <c r="C34" i="7"/>
  <c r="D43" i="7"/>
  <c r="E43" i="7"/>
  <c r="C43" i="7"/>
  <c r="M18" i="6"/>
  <c r="C71" i="7" l="1"/>
  <c r="D75" i="7"/>
  <c r="A73" i="7"/>
  <c r="E72" i="7"/>
  <c r="D73" i="7"/>
  <c r="E70" i="7"/>
  <c r="C75" i="7"/>
  <c r="E73" i="7"/>
  <c r="D72" i="7"/>
  <c r="D70" i="7"/>
  <c r="D65" i="7"/>
  <c r="D66" i="7" s="1"/>
  <c r="B66" i="7"/>
  <c r="E66" i="7" s="1"/>
  <c r="A61" i="7"/>
  <c r="A62" i="7" s="1"/>
  <c r="A63" i="7" s="1"/>
  <c r="E65" i="7"/>
  <c r="E76" i="7"/>
  <c r="C76" i="7"/>
  <c r="B64" i="7"/>
  <c r="A64" i="7" s="1"/>
  <c r="A65" i="7" s="1"/>
  <c r="A66" i="7" s="1"/>
  <c r="A70" i="7" s="1"/>
  <c r="A72" i="7" s="1"/>
  <c r="A74" i="7" s="1"/>
  <c r="A75" i="7" s="1"/>
  <c r="A76" i="7" s="1"/>
  <c r="A77" i="7" s="1"/>
  <c r="A78" i="7" s="1"/>
  <c r="A79" i="7" s="1"/>
  <c r="A80" i="7" s="1"/>
  <c r="D61" i="7"/>
  <c r="C61" i="7"/>
  <c r="E37" i="7"/>
  <c r="C37" i="7"/>
  <c r="D37" i="7"/>
  <c r="C39" i="7"/>
  <c r="E39" i="7"/>
  <c r="B4" i="7"/>
  <c r="C66" i="7" l="1"/>
  <c r="D64" i="7"/>
  <c r="C64" i="7"/>
  <c r="E64" i="7"/>
  <c r="B8" i="7"/>
  <c r="B20" i="7"/>
  <c r="D20" i="7" s="1"/>
  <c r="B26" i="7"/>
  <c r="D26" i="7" s="1"/>
  <c r="B24" i="7"/>
  <c r="B13" i="7"/>
  <c r="B5" i="7"/>
  <c r="E4" i="7"/>
  <c r="D4" i="7"/>
  <c r="C4" i="7"/>
  <c r="B15" i="7" l="1"/>
  <c r="D15" i="7" s="1"/>
  <c r="B14" i="7"/>
  <c r="C26" i="7"/>
  <c r="E26" i="7"/>
  <c r="D8" i="7"/>
  <c r="D24" i="7"/>
  <c r="B23" i="7"/>
  <c r="B25" i="7"/>
  <c r="C24" i="7"/>
  <c r="E24" i="7"/>
  <c r="E8" i="7"/>
  <c r="C8" i="7"/>
  <c r="E5" i="7"/>
  <c r="C20" i="7"/>
  <c r="E20" i="7"/>
  <c r="D13" i="7"/>
  <c r="E13" i="7"/>
  <c r="C13" i="7"/>
  <c r="B6" i="7"/>
  <c r="B19" i="7" s="1"/>
  <c r="C5" i="7"/>
  <c r="D5" i="7"/>
  <c r="A37" i="7" l="1"/>
  <c r="A38" i="7" s="1"/>
  <c r="B18" i="7"/>
  <c r="D19" i="7"/>
  <c r="A19" i="7"/>
  <c r="B16" i="7"/>
  <c r="B17" i="7"/>
  <c r="D25" i="7"/>
  <c r="D23" i="7"/>
  <c r="D6" i="7"/>
  <c r="C25" i="7"/>
  <c r="E23" i="7"/>
  <c r="E25" i="7"/>
  <c r="C23" i="7"/>
  <c r="B11" i="7"/>
  <c r="B7" i="7"/>
  <c r="B21" i="7"/>
  <c r="B22" i="7"/>
  <c r="E6" i="7"/>
  <c r="C6" i="7"/>
  <c r="D14" i="7"/>
  <c r="E14" i="7"/>
  <c r="C14" i="7"/>
  <c r="E4" i="5"/>
  <c r="D18" i="7" l="1"/>
  <c r="A39" i="7"/>
  <c r="A43" i="7" s="1"/>
  <c r="A45" i="7" s="1"/>
  <c r="A47" i="7" s="1"/>
  <c r="A48" i="7" s="1"/>
  <c r="A49" i="7" s="1"/>
  <c r="A50" i="7" s="1"/>
  <c r="A51" i="7" s="1"/>
  <c r="A52" i="7" s="1"/>
  <c r="A53" i="7" s="1"/>
  <c r="D17" i="7"/>
  <c r="E16" i="7"/>
  <c r="D16" i="7"/>
  <c r="C16" i="7"/>
  <c r="E17" i="7"/>
  <c r="B12" i="7"/>
  <c r="E19" i="7"/>
  <c r="C17" i="7"/>
  <c r="E7" i="7"/>
  <c r="C11" i="7"/>
  <c r="C15" i="7"/>
  <c r="E15" i="7"/>
  <c r="C19" i="7"/>
  <c r="E11" i="7"/>
  <c r="D11" i="7"/>
  <c r="C22" i="7"/>
  <c r="D22" i="7"/>
  <c r="E22" i="7"/>
  <c r="D21" i="7"/>
  <c r="E21" i="7"/>
  <c r="C21" i="7"/>
  <c r="E18" i="7"/>
  <c r="C18" i="7"/>
  <c r="E12" i="7" l="1"/>
  <c r="C12" i="7"/>
  <c r="D12" i="7"/>
  <c r="A4" i="7"/>
  <c r="A5" i="7" s="1"/>
  <c r="A6" i="7" s="1"/>
  <c r="A7" i="7" s="1"/>
  <c r="A8" i="7" s="1"/>
  <c r="A17" i="7" l="1"/>
  <c r="A18" i="7" s="1"/>
  <c r="A20" i="7" s="1"/>
  <c r="A21" i="7" s="1"/>
  <c r="A22" i="7" s="1"/>
  <c r="A23" i="7" s="1"/>
  <c r="A24" i="7" s="1"/>
  <c r="A25" i="7" s="1"/>
  <c r="R23" i="6"/>
  <c r="I43" i="6"/>
  <c r="C51" i="6"/>
  <c r="C43" i="6"/>
  <c r="H44" i="6" s="1"/>
  <c r="K18" i="6" s="1"/>
  <c r="O34" i="6"/>
  <c r="I34" i="6"/>
  <c r="N36" i="6" s="1"/>
  <c r="C34" i="6"/>
  <c r="G31" i="6"/>
  <c r="P24" i="6"/>
  <c r="Q17" i="6"/>
  <c r="P17" i="6"/>
  <c r="N17" i="6"/>
  <c r="M17" i="6"/>
  <c r="K17" i="6"/>
  <c r="J17" i="6"/>
  <c r="G17" i="6"/>
  <c r="N45" i="6" l="1"/>
  <c r="N47" i="6"/>
  <c r="N38" i="6"/>
  <c r="R33" i="6"/>
  <c r="R37" i="6"/>
  <c r="H42" i="6"/>
  <c r="N43" i="6"/>
  <c r="N32" i="6"/>
  <c r="N34" i="6"/>
  <c r="N42" i="6"/>
  <c r="N41" i="6"/>
  <c r="N44" i="6"/>
  <c r="H38" i="6"/>
  <c r="N33" i="6"/>
  <c r="H52" i="6"/>
  <c r="N35" i="6"/>
  <c r="R32" i="6"/>
  <c r="H43" i="6"/>
  <c r="H46" i="6"/>
  <c r="H41" i="6"/>
  <c r="O46" i="6" l="1"/>
  <c r="B9" i="7"/>
  <c r="D7" i="7"/>
  <c r="C7" i="7"/>
  <c r="E9" i="7" l="1"/>
  <c r="D9" i="7"/>
  <c r="C9" i="7"/>
  <c r="B10" i="7"/>
  <c r="A9" i="7"/>
  <c r="R54" i="6"/>
  <c r="C10" i="7" l="1"/>
  <c r="D10" i="7"/>
  <c r="E10" i="7"/>
  <c r="A10" i="7"/>
  <c r="A11" i="7" s="1"/>
  <c r="A12" i="7" s="1"/>
  <c r="A13" i="7" s="1"/>
  <c r="A14" i="7" s="1"/>
  <c r="A15" i="7" s="1"/>
  <c r="A16" i="7" s="1"/>
  <c r="A26" i="7" s="1"/>
</calcChain>
</file>

<file path=xl/sharedStrings.xml><?xml version="1.0" encoding="utf-8"?>
<sst xmlns="http://schemas.openxmlformats.org/spreadsheetml/2006/main" count="330" uniqueCount="183">
  <si>
    <t>Артикул</t>
  </si>
  <si>
    <t>Кол-во</t>
  </si>
  <si>
    <t>1YMX065170M0002</t>
  </si>
  <si>
    <t>Выключатель нагрузки NAL 12-6K170R 12kV 630A P=170mm, пружинный привод Тип K12</t>
  </si>
  <si>
    <t>1YMX067170M0002</t>
  </si>
  <si>
    <t>Выключатель нагрузки NAL 12-6A170R 12kV 630A P=170mm, пружинный привод Тип A12</t>
  </si>
  <si>
    <t>1YMX064235M0001</t>
  </si>
  <si>
    <t>Заземлитель E12-170 типа E для выключателя нагрузки 12kV 400/630A P=170mm</t>
  </si>
  <si>
    <t>1YMX042249M0004</t>
  </si>
  <si>
    <t>Корпус привода HE для моторного привода</t>
  </si>
  <si>
    <t>1YMX053362M0002</t>
  </si>
  <si>
    <t>1YMX054358M0002</t>
  </si>
  <si>
    <t>Удлинитель вала привода с левой стороны 12kV P=170mm</t>
  </si>
  <si>
    <t>1YMX054275M0001</t>
  </si>
  <si>
    <t>Механическая блокировка выключателя NAL12 - заземлитель</t>
  </si>
  <si>
    <t>1YMX054713M0001</t>
  </si>
  <si>
    <t>Блок-контакт для выключателя нагрузки NAL/NALF 12-24kV 2NO + 2NC</t>
  </si>
  <si>
    <t>1YMX054716M0001</t>
  </si>
  <si>
    <t>Блок-контакт для заземлителя E/EB 12-24kV 2NO + 2NC</t>
  </si>
  <si>
    <t>1YMX000220M1021</t>
  </si>
  <si>
    <t>Моторный привод для NAL(F) 220VAC/DC</t>
  </si>
  <si>
    <t>1YMX064225M0001</t>
  </si>
  <si>
    <t>Заземлитель типа E для платы с держателями предохранителей 12kV 400/630A P=170mm</t>
  </si>
  <si>
    <t>1YMX054277M0001</t>
  </si>
  <si>
    <t>Механическая блокировка выключателя NALF12 292mm</t>
  </si>
  <si>
    <t>1YMB711227M2612</t>
  </si>
  <si>
    <t>1YMX053346M0002</t>
  </si>
  <si>
    <t>Соединительная тяга 1300mm</t>
  </si>
  <si>
    <t>1YMX053393M0001</t>
  </si>
  <si>
    <t>Корпус привода HE с катушкой электромагнитной блокировки 230VAC</t>
  </si>
  <si>
    <t>1YMX000044M0002</t>
  </si>
  <si>
    <t>Кронштейн для электропривода 55mm, для пружинного привода Тип A/K, установка слева</t>
  </si>
  <si>
    <t>1YMX064195M0001</t>
  </si>
  <si>
    <t>Плата с держателями предохранителей F12 12kV 400/630A P=170mm, комплект аварийного отключения, для механизма А, со стороны оси вращения ножей</t>
  </si>
  <si>
    <t>1YMX064270M0001</t>
  </si>
  <si>
    <t>Заземлитель EB12-170 типа EB для отдельного монтажа P=170mm</t>
  </si>
  <si>
    <t>-</t>
  </si>
  <si>
    <t>1YMX053233M0001</t>
  </si>
  <si>
    <t>Корпус привода HE с карданным шарниром</t>
  </si>
  <si>
    <t>Выключатель нагрузки</t>
  </si>
  <si>
    <t>NAL</t>
  </si>
  <si>
    <t>F</t>
  </si>
  <si>
    <t>A</t>
  </si>
  <si>
    <t>R</t>
  </si>
  <si>
    <t>E</t>
  </si>
  <si>
    <t>HE</t>
  </si>
  <si>
    <t>_</t>
  </si>
  <si>
    <t>K</t>
  </si>
  <si>
    <t>L</t>
  </si>
  <si>
    <t>NM</t>
  </si>
  <si>
    <t>Межполюсное расстояние, мм</t>
  </si>
  <si>
    <t>Тип выключателя нагрузки</t>
  </si>
  <si>
    <t>номер параметра</t>
  </si>
  <si>
    <t>ИЛИ</t>
  </si>
  <si>
    <t>Монтаж</t>
  </si>
  <si>
    <t>со стороны оси вращения ножей</t>
  </si>
  <si>
    <t>со стороны неподвижных контактов</t>
  </si>
  <si>
    <t>для параметра номер 2</t>
  </si>
  <si>
    <t>+</t>
  </si>
  <si>
    <t>EB</t>
  </si>
  <si>
    <t>механизм автоматического отключения при перегорании предохранителя(-ей)</t>
  </si>
  <si>
    <t>блок-контакт сигнализации об автоматическом отключении при перегорании предохранителя(-ей)</t>
  </si>
  <si>
    <t>для параметров номер 2 и 5</t>
  </si>
  <si>
    <t>для параметра номер 5</t>
  </si>
  <si>
    <t>24DC</t>
  </si>
  <si>
    <t>230AC</t>
  </si>
  <si>
    <t>220DC</t>
  </si>
  <si>
    <t>Дополнительная информация для заказа</t>
  </si>
  <si>
    <t>для параметра номер 9</t>
  </si>
  <si>
    <t>Тип привода главных ножей (заземлители всегда оснащены только ручным приводом)</t>
  </si>
  <si>
    <t>Монтаж платы, относительно главных ножей</t>
  </si>
  <si>
    <t>Тип пружинного механизма привода главных ножей</t>
  </si>
  <si>
    <t>Наличие платы с держателями предохранителей</t>
  </si>
  <si>
    <t>Номинальный ток главной цепи, А</t>
  </si>
  <si>
    <t>Наибольшее рабочее напряжение главной цепи, кВ</t>
  </si>
  <si>
    <t>номинальное напряжение питания
моторного привода и платы управления, В
(универсальное, AC/DC)</t>
  </si>
  <si>
    <t>Ширина камеры КСО, мм</t>
  </si>
  <si>
    <t>Блок-контакты положения главных ножей, n*(NO+NC)</t>
  </si>
  <si>
    <t>для параметра номер 8</t>
  </si>
  <si>
    <t>БЛОК НОМЕР 1</t>
  </si>
  <si>
    <t>БЛОК НОМЕР 2</t>
  </si>
  <si>
    <t>БЛОК НОМЕР 3</t>
  </si>
  <si>
    <r>
      <t xml:space="preserve">номинальное напряжение питания моторного
привода и платы управления, В </t>
    </r>
    <r>
      <rPr>
        <b/>
        <sz val="12"/>
        <rFont val="Arial"/>
        <family val="2"/>
        <charset val="204"/>
      </rPr>
      <t>(AC/DC)</t>
    </r>
  </si>
  <si>
    <t>Блок-контакты положения нижнего заземлителя, n*(NO+NC)</t>
  </si>
  <si>
    <t>Блок-контакты положения верхнего заземлителя независимого монтажа, n*(NO+NC)</t>
  </si>
  <si>
    <t>для параметра номер 10</t>
  </si>
  <si>
    <r>
      <t xml:space="preserve">блок-контакты положения заземлителя, </t>
    </r>
    <r>
      <rPr>
        <b/>
        <sz val="12"/>
        <rFont val="Arial"/>
        <family val="2"/>
        <charset val="204"/>
      </rPr>
      <t>n*(NO+NC)</t>
    </r>
  </si>
  <si>
    <r>
      <t xml:space="preserve">блок-контакты положения главных ножей, </t>
    </r>
    <r>
      <rPr>
        <b/>
        <sz val="12"/>
        <rFont val="Arial"/>
        <family val="2"/>
        <charset val="204"/>
      </rPr>
      <t>n*(NO+NC)</t>
    </r>
  </si>
  <si>
    <t>Артикул по приходу ABB</t>
  </si>
  <si>
    <t>Эталонное наименование</t>
  </si>
  <si>
    <t>Выключатели нагрузки 12kV (ABB)</t>
  </si>
  <si>
    <t>1YMX067170M0001</t>
  </si>
  <si>
    <t>Выключатель нагрузки NAL 12-4A170R 12kV 400A P=170mm, пружинный привод Тип A12</t>
  </si>
  <si>
    <t>1YMX065170M0001</t>
  </si>
  <si>
    <t>Выключатель нагрузки NAL 12-4K170R 12kV 400A P=170mm, пружинный привод Тип K12</t>
  </si>
  <si>
    <t>1YMX064181M0001</t>
  </si>
  <si>
    <t>Плата с держателями предохранителей F12 12kV 400/630A P=170mm, без комплекта аварийного отключения, для механизма А/K, со стороны оси вращения ножей</t>
  </si>
  <si>
    <t>1YMX064200M0001</t>
  </si>
  <si>
    <t>Плата с держателями предохранителей F12 12kV 400/630A P=170mm, комплект аварийного отключения, для механизма А, со стороны неподвижных контактов</t>
  </si>
  <si>
    <t>Аксессуары к выключателям нагрузки 12kV (ABB)</t>
  </si>
  <si>
    <t>1YMX000024M1021</t>
  </si>
  <si>
    <t>Моторный привод для NAL(F) 24VAC/DC</t>
  </si>
  <si>
    <t>1YMX000044M0001</t>
  </si>
  <si>
    <t>Кронштейн для электропривода 39mm, для пружинного привода Тип K, установка справа</t>
  </si>
  <si>
    <t>1YMX000044M0005</t>
  </si>
  <si>
    <t>Кронштейн для электропривода 39mm, для пружинного привода Тип A, установка справа</t>
  </si>
  <si>
    <t>Коническая передача для HE привода</t>
  </si>
  <si>
    <t>1YMX053395M0001</t>
  </si>
  <si>
    <t>Корпус привода HE с катушкой электромагнитной блокировки 230VDC</t>
  </si>
  <si>
    <t>1YMX053398M0001</t>
  </si>
  <si>
    <t>Корпус привода HE с катушкой электромагнитной блокировки 24VDC</t>
  </si>
  <si>
    <t>1YMX053235M0001</t>
  </si>
  <si>
    <t>Рычаг для HE привода</t>
  </si>
  <si>
    <t>1YMX054717M0001</t>
  </si>
  <si>
    <t>Блок-контакт для заземлителя E/EB 12-24kV 4NO + 4NC</t>
  </si>
  <si>
    <t>1YMX054714M0002</t>
  </si>
  <si>
    <t>Блок-контакт для выключателя нагрузки NAL/NALF 12-24kV 4NO + 4NC</t>
  </si>
  <si>
    <t>1YMX053390M0001</t>
  </si>
  <si>
    <t>Блок-контакт для сигнализации перегорания предохранителя 12-24kV</t>
  </si>
  <si>
    <t>1YMX054740M0001</t>
  </si>
  <si>
    <t>Независимый расцепитель для механизма привода Тип А 220VAC</t>
  </si>
  <si>
    <t>1YMX054742M0001</t>
  </si>
  <si>
    <t>Независимый расцепитель для механизма привода Тип А 220VDC</t>
  </si>
  <si>
    <t>1YMX054745M0001</t>
  </si>
  <si>
    <t>Независимый расцепитель для механизма привода Тип А 24VDC</t>
  </si>
  <si>
    <t>1YMX018958M0015</t>
  </si>
  <si>
    <t>Катушка электромагнитной блокировки 230VAC</t>
  </si>
  <si>
    <t>1YMX018958M0006</t>
  </si>
  <si>
    <t>Катушка электромагнитной блокировки 220VDC</t>
  </si>
  <si>
    <t>1YMX018958M0016</t>
  </si>
  <si>
    <t>Катушка электромагнитной блокировки 24VDC</t>
  </si>
  <si>
    <t>Вставки плавкие CEF 12kV (ABB)</t>
  </si>
  <si>
    <t>1YMB711213M2512</t>
  </si>
  <si>
    <t>Вставка плавкая CEF 6/12kV 6,3A 292/53mm S</t>
  </si>
  <si>
    <t>1YMB711216M2512</t>
  </si>
  <si>
    <t>Вставка плавкая CEF 6/12kV 10A 292/53mm S</t>
  </si>
  <si>
    <t>1YMB711218M2512</t>
  </si>
  <si>
    <t>Вставка плавкая CEF 6/12kV 16A 292/53mm S</t>
  </si>
  <si>
    <t>1YMB711219M2512</t>
  </si>
  <si>
    <t>Вставка плавкая CEF 6/12kV 20A 292/53mm S</t>
  </si>
  <si>
    <t>1YMB711221M2512</t>
  </si>
  <si>
    <t>Вставка плавкая CEF 6/12kV 25A 292/53mm S</t>
  </si>
  <si>
    <t>1YMB711224M2512</t>
  </si>
  <si>
    <t>Вставка плавкая CEF 6/12kV 31,5A 292/53mm S</t>
  </si>
  <si>
    <t>1YMB711225M2512</t>
  </si>
  <si>
    <t>Вставка плавкая CEF 6/12kV 40A 292/53mm S</t>
  </si>
  <si>
    <t>Вставка плавкая CEF 6/12kV 50A 292/65mm S</t>
  </si>
  <si>
    <t>1YMB711229M2612</t>
  </si>
  <si>
    <t>Вставка плавкая CEF 6/12kV 63A 292/65mm S</t>
  </si>
  <si>
    <t>1YMB711231M2612</t>
  </si>
  <si>
    <t>Вставка плавкая CEF 6/12kV 80A 292/65mm S</t>
  </si>
  <si>
    <t>1YMB711233M2612</t>
  </si>
  <si>
    <t>Вставка плавкая CEF 6/12kV 100A 292/65mm S</t>
  </si>
  <si>
    <t>1YMB711235M2812</t>
  </si>
  <si>
    <t>Вставка плавкая CEF 6/12kV 125A 292/87mm S</t>
  </si>
  <si>
    <t>№</t>
  </si>
  <si>
    <t>Наименование</t>
  </si>
  <si>
    <t>Примечания</t>
  </si>
  <si>
    <t>Плата с держателями предохранителей F12 12kV 400/630A P=170mm, без комплекта аварийного отключения, для механизма А/K, со стороны неподвижных контактов</t>
  </si>
  <si>
    <t>1YMX064190M0001</t>
  </si>
  <si>
    <t>электромагнитная блокировка ручного привода
(номинальное напряжение питания, В)</t>
  </si>
  <si>
    <t>независимый расцепитель
(номинальное напряжение питания, В)</t>
  </si>
  <si>
    <t>комплект из 3 (трех) предохранителей с бойком
(номинальный ток предохранителей, А)</t>
  </si>
  <si>
    <t>наличие механической блокировки с главными ножами выключателя нагрузки</t>
  </si>
  <si>
    <t>наличие механической блокировки
с главными ножами выключателя нагрузки</t>
  </si>
  <si>
    <r>
      <t xml:space="preserve">Наличие быстродействующего заземлителя </t>
    </r>
    <r>
      <rPr>
        <b/>
        <sz val="12"/>
        <rFont val="Arial"/>
        <family val="2"/>
        <charset val="204"/>
      </rPr>
      <t>(нижний заземлитель, со стороны оси вращения главных ножей)</t>
    </r>
  </si>
  <si>
    <r>
      <t xml:space="preserve">Наличие быстродействующего заземлителя независимого монтажа </t>
    </r>
    <r>
      <rPr>
        <b/>
        <sz val="12"/>
        <rFont val="Arial"/>
        <family val="2"/>
        <charset val="204"/>
      </rPr>
      <t>(верхний заземлитель, со стороны неподвижных контактов гланых ножей)</t>
    </r>
  </si>
  <si>
    <t xml:space="preserve">механизм автоматического отключения главных ножей при перегорании предохранителя(-ей) </t>
  </si>
  <si>
    <t>блок-контакт сигнализации отключения главных ножей при перегорании предохранителя(-ей)</t>
  </si>
  <si>
    <t>независимый расцепитель главных ножей
(номинальное напряжение питания, В)</t>
  </si>
  <si>
    <t>место установки моторного привода,
относительно главных ножей</t>
  </si>
  <si>
    <t>слева</t>
  </si>
  <si>
    <t>справа</t>
  </si>
  <si>
    <t>монтаж моторного привода,
относительно главных ножей</t>
  </si>
  <si>
    <t>Тип ручного привода главных ножей и заземлителей по месту монтажа, относительно главных ножей</t>
  </si>
  <si>
    <t>количество дополнительных рычагов для ручного управления</t>
  </si>
  <si>
    <t>дополнительные рычаги для ручного управления, шт.</t>
  </si>
  <si>
    <t>ширина камеры КСО, мм.</t>
  </si>
  <si>
    <t xml:space="preserve">ССЫЛКИ НА КАТАЛОГ КОМПЛЕКТУЮЩИХ ДЛЯ ЗАКАЗА ПО ЗАКАЗНОЙ СПЕЦИФИКАЦИИ (ТРЕБУЕТСЯ АККАУНТ НА САЙТЕ LSYS.BY)  И НА ДОПОЛНИТЕЛЬНЫЕ МАТЕРИАЛЫ </t>
  </si>
  <si>
    <r>
      <t xml:space="preserve">Заказная спецификация, согласно </t>
    </r>
    <r>
      <rPr>
        <b/>
        <u/>
        <sz val="14"/>
        <rFont val="Arial"/>
        <family val="2"/>
        <charset val="204"/>
      </rPr>
      <t>опросного листа 1</t>
    </r>
  </si>
  <si>
    <r>
      <t xml:space="preserve">Заказная спецификация, согласно </t>
    </r>
    <r>
      <rPr>
        <b/>
        <u/>
        <sz val="14"/>
        <rFont val="Arial"/>
        <family val="2"/>
        <charset val="204"/>
      </rPr>
      <t>опросного листа 2</t>
    </r>
  </si>
  <si>
    <r>
      <t xml:space="preserve">Заказная спецификация, согласно </t>
    </r>
    <r>
      <rPr>
        <b/>
        <u/>
        <sz val="14"/>
        <rFont val="Arial"/>
        <family val="2"/>
        <charset val="204"/>
      </rPr>
      <t>опросного листа 3</t>
    </r>
  </si>
  <si>
    <t>Необходимое количество комплектов выключателя нагрузки,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</si>
</sst>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u/>
      <sz val="14"/>
      <name val="Arial"/>
      <family val="2"/>
      <charset val="204"/>
    </font>
    <font>
      <b/>
      <sz val="16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0" tint="-0.1499984740745262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0" tint="-0.14999847407452621"/>
      <name val="Arial"/>
      <family val="2"/>
      <charset val="204"/>
    </font>
    <font>
      <b/>
      <u/>
      <sz val="14"/>
      <name val="Arial"/>
      <family val="2"/>
      <charset val="204"/>
    </font>
    <font>
      <b/>
      <sz val="9"/>
      <color rgb="FFC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2D8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Dashed">
        <color indexed="64"/>
      </right>
      <top style="thin">
        <color auto="1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Dash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Dashed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ed">
        <color auto="1"/>
      </bottom>
      <diagonal/>
    </border>
    <border>
      <left/>
      <right style="thin">
        <color indexed="64"/>
      </right>
      <top style="medium">
        <color indexed="64"/>
      </top>
      <bottom style="medium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auto="1"/>
      </top>
      <bottom style="thin">
        <color auto="1"/>
      </bottom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8">
    <xf numFmtId="0" fontId="0" fillId="0" borderId="0" xfId="0"/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0" applyFont="1"/>
    <xf numFmtId="0" fontId="5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5" fillId="3" borderId="24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25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" fillId="3" borderId="26" xfId="0" applyFont="1" applyFill="1" applyBorder="1" applyAlignment="1" applyProtection="1">
      <alignment horizontal="center" vertical="center"/>
      <protection hidden="1"/>
    </xf>
    <xf numFmtId="0" fontId="5" fillId="3" borderId="27" xfId="0" applyFont="1" applyFill="1" applyBorder="1" applyAlignment="1" applyProtection="1">
      <alignment horizontal="center" vertical="center"/>
      <protection hidden="1"/>
    </xf>
    <xf numFmtId="0" fontId="5" fillId="3" borderId="28" xfId="0" applyFont="1" applyFill="1" applyBorder="1" applyAlignment="1" applyProtection="1">
      <alignment horizontal="center" vertical="center"/>
      <protection hidden="1"/>
    </xf>
    <xf numFmtId="0" fontId="7" fillId="3" borderId="44" xfId="0" applyFont="1" applyFill="1" applyBorder="1" applyAlignment="1" applyProtection="1">
      <alignment horizontal="center" vertical="center"/>
      <protection hidden="1"/>
    </xf>
    <xf numFmtId="0" fontId="7" fillId="3" borderId="44" xfId="0" applyFont="1" applyFill="1" applyBorder="1" applyAlignment="1" applyProtection="1">
      <alignment horizontal="center" vertical="center" wrapText="1"/>
      <protection hidden="1"/>
    </xf>
    <xf numFmtId="0" fontId="7" fillId="3" borderId="37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left" vertical="center"/>
      <protection hidden="1"/>
    </xf>
    <xf numFmtId="0" fontId="7" fillId="3" borderId="45" xfId="0" applyFont="1" applyFill="1" applyBorder="1" applyAlignment="1" applyProtection="1">
      <alignment horizontal="left" vertical="center"/>
      <protection hidden="1"/>
    </xf>
    <xf numFmtId="0" fontId="7" fillId="3" borderId="37" xfId="0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Fill="1" applyBorder="1" applyAlignment="1" applyProtection="1">
      <alignment horizontal="center" vertical="center"/>
      <protection locked="0" hidden="1"/>
    </xf>
    <xf numFmtId="0" fontId="8" fillId="0" borderId="50" xfId="0" applyFont="1" applyFill="1" applyBorder="1" applyAlignment="1" applyProtection="1">
      <alignment horizontal="center" vertical="center"/>
      <protection locked="0" hidden="1"/>
    </xf>
    <xf numFmtId="0" fontId="7" fillId="5" borderId="40" xfId="0" applyFont="1" applyFill="1" applyBorder="1" applyAlignment="1" applyProtection="1">
      <alignment horizontal="left" vertical="center"/>
      <protection hidden="1"/>
    </xf>
    <xf numFmtId="0" fontId="7" fillId="5" borderId="45" xfId="0" applyFont="1" applyFill="1" applyBorder="1" applyAlignment="1" applyProtection="1">
      <alignment horizontal="left" vertical="center"/>
      <protection hidden="1"/>
    </xf>
    <xf numFmtId="0" fontId="7" fillId="5" borderId="37" xfId="0" applyFont="1" applyFill="1" applyBorder="1" applyAlignment="1" applyProtection="1">
      <alignment horizontal="center" vertical="center"/>
      <protection hidden="1"/>
    </xf>
    <xf numFmtId="0" fontId="7" fillId="5" borderId="44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7" fillId="3" borderId="40" xfId="0" applyFont="1" applyFill="1" applyBorder="1" applyAlignment="1" applyProtection="1">
      <alignment horizontal="center" vertical="center"/>
      <protection hidden="1"/>
    </xf>
    <xf numFmtId="0" fontId="8" fillId="0" borderId="60" xfId="0" applyFont="1" applyFill="1" applyBorder="1" applyAlignment="1" applyProtection="1">
      <alignment horizontal="center" vertical="center"/>
      <protection locked="0" hidden="1"/>
    </xf>
    <xf numFmtId="0" fontId="5" fillId="3" borderId="64" xfId="0" applyFont="1" applyFill="1" applyBorder="1" applyAlignment="1" applyProtection="1">
      <alignment horizontal="center" vertical="center"/>
      <protection hidden="1"/>
    </xf>
    <xf numFmtId="0" fontId="5" fillId="3" borderId="65" xfId="0" applyFont="1" applyFill="1" applyBorder="1" applyAlignment="1" applyProtection="1">
      <alignment horizontal="center" vertical="center"/>
      <protection hidden="1"/>
    </xf>
    <xf numFmtId="0" fontId="5" fillId="3" borderId="75" xfId="0" applyFont="1" applyFill="1" applyBorder="1" applyAlignment="1" applyProtection="1">
      <alignment horizontal="center" vertical="center"/>
      <protection hidden="1"/>
    </xf>
    <xf numFmtId="0" fontId="5" fillId="3" borderId="76" xfId="0" applyFont="1" applyFill="1" applyBorder="1" applyAlignment="1" applyProtection="1">
      <alignment horizontal="center" vertical="center"/>
      <protection hidden="1"/>
    </xf>
    <xf numFmtId="0" fontId="5" fillId="3" borderId="77" xfId="0" applyFont="1" applyFill="1" applyBorder="1" applyAlignment="1" applyProtection="1">
      <alignment horizontal="center" vertical="center"/>
      <protection hidden="1"/>
    </xf>
    <xf numFmtId="0" fontId="7" fillId="3" borderId="78" xfId="0" applyFont="1" applyFill="1" applyBorder="1" applyAlignment="1" applyProtection="1">
      <alignment horizontal="center" vertical="center" wrapText="1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5" fillId="3" borderId="79" xfId="0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center" vertical="center"/>
      <protection hidden="1"/>
    </xf>
    <xf numFmtId="0" fontId="12" fillId="3" borderId="27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4" fillId="3" borderId="75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/>
    <xf numFmtId="0" fontId="2" fillId="9" borderId="3" xfId="1" applyFont="1" applyFill="1" applyBorder="1" applyAlignment="1">
      <alignment horizontal="center" vertical="center" wrapText="1"/>
    </xf>
    <xf numFmtId="0" fontId="2" fillId="0" borderId="95" xfId="1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91" xfId="0" applyFont="1" applyBorder="1"/>
    <xf numFmtId="0" fontId="2" fillId="0" borderId="92" xfId="0" applyFont="1" applyBorder="1"/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0" borderId="86" xfId="0" quotePrefix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6" borderId="3" xfId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  <protection hidden="1"/>
    </xf>
    <xf numFmtId="0" fontId="6" fillId="3" borderId="27" xfId="0" applyFont="1" applyFill="1" applyBorder="1" applyAlignment="1" applyProtection="1">
      <alignment horizontal="center" vertical="center"/>
      <protection hidden="1"/>
    </xf>
    <xf numFmtId="0" fontId="2" fillId="2" borderId="40" xfId="0" applyFont="1" applyFill="1" applyBorder="1" applyAlignment="1" applyProtection="1">
      <alignment horizontal="center" vertical="center"/>
    </xf>
    <xf numFmtId="0" fontId="2" fillId="9" borderId="105" xfId="0" applyFont="1" applyFill="1" applyBorder="1" applyAlignment="1">
      <alignment horizontal="left" vertical="center" wrapText="1"/>
    </xf>
    <xf numFmtId="0" fontId="2" fillId="0" borderId="105" xfId="0" applyFont="1" applyFill="1" applyBorder="1" applyAlignment="1">
      <alignment horizontal="left" vertical="center" wrapText="1"/>
    </xf>
    <xf numFmtId="0" fontId="2" fillId="0" borderId="105" xfId="0" applyFont="1" applyBorder="1" applyAlignment="1">
      <alignment horizontal="left" vertical="center" wrapText="1"/>
    </xf>
    <xf numFmtId="0" fontId="2" fillId="6" borderId="105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106" xfId="0" applyFont="1" applyBorder="1" applyAlignment="1">
      <alignment horizontal="left" vertical="center" wrapText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7" fillId="3" borderId="27" xfId="0" applyFont="1" applyFill="1" applyBorder="1" applyAlignment="1" applyProtection="1">
      <alignment horizontal="center" vertical="center"/>
      <protection hidden="1"/>
    </xf>
    <xf numFmtId="0" fontId="17" fillId="3" borderId="65" xfId="0" applyFont="1" applyFill="1" applyBorder="1" applyAlignment="1" applyProtection="1">
      <alignment horizontal="center" vertical="center"/>
      <protection hidden="1"/>
    </xf>
    <xf numFmtId="0" fontId="17" fillId="3" borderId="25" xfId="0" applyFont="1" applyFill="1" applyBorder="1" applyAlignment="1" applyProtection="1">
      <alignment horizontal="center" vertical="center"/>
      <protection hidden="1"/>
    </xf>
    <xf numFmtId="0" fontId="18" fillId="3" borderId="25" xfId="0" applyFont="1" applyFill="1" applyBorder="1" applyAlignment="1" applyProtection="1">
      <alignment horizontal="center" vertical="center"/>
      <protection hidden="1"/>
    </xf>
    <xf numFmtId="0" fontId="18" fillId="3" borderId="28" xfId="0" applyFont="1" applyFill="1" applyBorder="1" applyAlignment="1" applyProtection="1">
      <alignment horizontal="center" vertical="center"/>
      <protection hidden="1"/>
    </xf>
    <xf numFmtId="0" fontId="16" fillId="3" borderId="84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locked="0"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2" fillId="0" borderId="104" xfId="0" applyFont="1" applyBorder="1"/>
    <xf numFmtId="0" fontId="2" fillId="2" borderId="105" xfId="0" applyFont="1" applyFill="1" applyBorder="1" applyAlignment="1" applyProtection="1">
      <alignment horizontal="center" vertical="center"/>
    </xf>
    <xf numFmtId="0" fontId="2" fillId="2" borderId="78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  <protection hidden="1"/>
    </xf>
    <xf numFmtId="0" fontId="5" fillId="10" borderId="24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Border="1" applyAlignment="1" applyProtection="1">
      <alignment horizontal="center" vertical="center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5" fillId="10" borderId="26" xfId="0" applyFont="1" applyFill="1" applyBorder="1" applyAlignment="1" applyProtection="1">
      <alignment horizontal="center" vertical="center"/>
      <protection hidden="1"/>
    </xf>
    <xf numFmtId="0" fontId="5" fillId="10" borderId="27" xfId="0" applyFont="1" applyFill="1" applyBorder="1" applyAlignment="1" applyProtection="1">
      <alignment horizontal="center" vertical="center"/>
      <protection hidden="1"/>
    </xf>
    <xf numFmtId="0" fontId="5" fillId="10" borderId="28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4" borderId="91" xfId="0" applyFont="1" applyFill="1" applyBorder="1" applyAlignment="1" applyProtection="1">
      <alignment horizontal="center" vertical="center"/>
      <protection hidden="1"/>
    </xf>
    <xf numFmtId="0" fontId="7" fillId="4" borderId="91" xfId="0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0" fontId="8" fillId="0" borderId="60" xfId="0" applyFont="1" applyFill="1" applyBorder="1" applyAlignment="1" applyProtection="1">
      <alignment horizontal="center" vertical="center"/>
      <protection hidden="1"/>
    </xf>
    <xf numFmtId="0" fontId="8" fillId="0" borderId="60" xfId="0" quotePrefix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7" fillId="0" borderId="56" xfId="0" applyFont="1" applyFill="1" applyBorder="1" applyAlignment="1" applyProtection="1">
      <alignment horizontal="left" vertical="center" wrapText="1"/>
      <protection hidden="1"/>
    </xf>
    <xf numFmtId="0" fontId="7" fillId="0" borderId="57" xfId="0" applyFont="1" applyFill="1" applyBorder="1" applyAlignment="1" applyProtection="1">
      <alignment horizontal="left" vertical="center"/>
      <protection hidden="1"/>
    </xf>
    <xf numFmtId="0" fontId="7" fillId="0" borderId="58" xfId="0" applyFont="1" applyFill="1" applyBorder="1" applyAlignment="1" applyProtection="1">
      <alignment horizontal="left" vertical="center"/>
      <protection hidden="1"/>
    </xf>
    <xf numFmtId="0" fontId="7" fillId="0" borderId="59" xfId="0" applyFont="1" applyFill="1" applyBorder="1" applyAlignment="1" applyProtection="1">
      <alignment horizontal="left" vertical="center"/>
      <protection hidden="1"/>
    </xf>
    <xf numFmtId="0" fontId="5" fillId="0" borderId="100" xfId="0" applyFont="1" applyFill="1" applyBorder="1" applyAlignment="1" applyProtection="1">
      <alignment horizontal="center" vertical="center"/>
      <protection locked="0" hidden="1"/>
    </xf>
    <xf numFmtId="0" fontId="5" fillId="0" borderId="48" xfId="0" applyFont="1" applyFill="1" applyBorder="1" applyAlignment="1" applyProtection="1">
      <alignment horizontal="center" vertical="center"/>
      <protection locked="0" hidden="1"/>
    </xf>
    <xf numFmtId="0" fontId="16" fillId="3" borderId="84" xfId="0" applyFont="1" applyFill="1" applyBorder="1" applyAlignment="1" applyProtection="1">
      <alignment horizontal="center" vertical="center" wrapText="1"/>
      <protection hidden="1"/>
    </xf>
    <xf numFmtId="0" fontId="11" fillId="0" borderId="64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6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55" xfId="0" applyFont="1" applyFill="1" applyBorder="1" applyAlignment="1" applyProtection="1">
      <alignment horizontal="left" vertical="center"/>
      <protection hidden="1"/>
    </xf>
    <xf numFmtId="0" fontId="7" fillId="0" borderId="49" xfId="0" applyFont="1" applyFill="1" applyBorder="1" applyAlignment="1" applyProtection="1">
      <alignment horizontal="left" vertical="center"/>
      <protection hidden="1"/>
    </xf>
    <xf numFmtId="0" fontId="16" fillId="3" borderId="53" xfId="0" applyFont="1" applyFill="1" applyBorder="1" applyAlignment="1" applyProtection="1">
      <alignment horizontal="center" vertical="center" wrapText="1"/>
      <protection hidden="1"/>
    </xf>
    <xf numFmtId="0" fontId="7" fillId="0" borderId="53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5" fillId="3" borderId="84" xfId="0" applyFont="1" applyFill="1" applyBorder="1" applyAlignment="1" applyProtection="1">
      <alignment horizontal="center" vertical="center"/>
      <protection hidden="1"/>
    </xf>
    <xf numFmtId="0" fontId="5" fillId="5" borderId="35" xfId="0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hidden="1"/>
    </xf>
    <xf numFmtId="0" fontId="7" fillId="3" borderId="33" xfId="0" applyFont="1" applyFill="1" applyBorder="1" applyAlignment="1" applyProtection="1">
      <alignment horizontal="center" vertical="center"/>
      <protection hidden="1"/>
    </xf>
    <xf numFmtId="0" fontId="7" fillId="3" borderId="39" xfId="0" applyFont="1" applyFill="1" applyBorder="1" applyAlignment="1" applyProtection="1">
      <alignment horizontal="center"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center"/>
      <protection hidden="1"/>
    </xf>
    <xf numFmtId="0" fontId="8" fillId="0" borderId="63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left" vertical="center"/>
      <protection hidden="1"/>
    </xf>
    <xf numFmtId="0" fontId="8" fillId="0" borderId="63" xfId="0" applyFont="1" applyFill="1" applyBorder="1" applyAlignment="1" applyProtection="1">
      <alignment horizontal="left" vertical="center"/>
      <protection hidden="1"/>
    </xf>
    <xf numFmtId="2" fontId="8" fillId="0" borderId="61" xfId="0" applyNumberFormat="1" applyFont="1" applyFill="1" applyBorder="1" applyAlignment="1" applyProtection="1">
      <alignment horizontal="center" vertical="center"/>
      <protection locked="0" hidden="1"/>
    </xf>
    <xf numFmtId="2" fontId="8" fillId="0" borderId="62" xfId="0" applyNumberFormat="1" applyFont="1" applyFill="1" applyBorder="1" applyAlignment="1" applyProtection="1">
      <alignment horizontal="center" vertical="center"/>
      <protection locked="0" hidden="1"/>
    </xf>
    <xf numFmtId="0" fontId="4" fillId="3" borderId="27" xfId="0" applyFont="1" applyFill="1" applyBorder="1" applyAlignment="1" applyProtection="1">
      <alignment horizontal="center" vertical="center"/>
      <protection hidden="1"/>
    </xf>
    <xf numFmtId="0" fontId="8" fillId="0" borderId="73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8" fillId="0" borderId="66" xfId="0" applyFont="1" applyFill="1" applyBorder="1" applyAlignment="1" applyProtection="1">
      <alignment horizontal="center" vertical="center"/>
      <protection hidden="1"/>
    </xf>
    <xf numFmtId="0" fontId="7" fillId="0" borderId="74" xfId="0" applyFont="1" applyFill="1" applyBorder="1" applyAlignment="1" applyProtection="1">
      <alignment horizontal="left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7" fillId="0" borderId="47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7" fillId="0" borderId="52" xfId="0" applyFont="1" applyFill="1" applyBorder="1" applyAlignment="1" applyProtection="1">
      <alignment horizontal="left" vertical="center" wrapText="1"/>
      <protection hidden="1"/>
    </xf>
    <xf numFmtId="0" fontId="7" fillId="3" borderId="33" xfId="0" applyFont="1" applyFill="1" applyBorder="1" applyAlignment="1" applyProtection="1">
      <alignment horizontal="left" vertical="center"/>
      <protection hidden="1"/>
    </xf>
    <xf numFmtId="0" fontId="7" fillId="3" borderId="39" xfId="0" applyFont="1" applyFill="1" applyBorder="1" applyAlignment="1" applyProtection="1">
      <alignment horizontal="left" vertical="center"/>
      <protection hidden="1"/>
    </xf>
    <xf numFmtId="0" fontId="7" fillId="3" borderId="35" xfId="0" applyFont="1" applyFill="1" applyBorder="1" applyAlignment="1" applyProtection="1">
      <alignment horizontal="left" vertical="center"/>
      <protection hidden="1"/>
    </xf>
    <xf numFmtId="0" fontId="7" fillId="3" borderId="33" xfId="0" applyFont="1" applyFill="1" applyBorder="1" applyAlignment="1" applyProtection="1">
      <alignment horizontal="left" vertical="center" wrapText="1"/>
      <protection hidden="1"/>
    </xf>
    <xf numFmtId="0" fontId="7" fillId="0" borderId="101" xfId="0" applyFont="1" applyFill="1" applyBorder="1" applyAlignment="1" applyProtection="1">
      <alignment horizontal="left" vertical="center" wrapText="1"/>
      <protection hidden="1"/>
    </xf>
    <xf numFmtId="0" fontId="7" fillId="0" borderId="45" xfId="0" applyFont="1" applyFill="1" applyBorder="1" applyAlignment="1" applyProtection="1">
      <alignment horizontal="left" vertical="center" wrapText="1"/>
      <protection hidden="1"/>
    </xf>
    <xf numFmtId="0" fontId="5" fillId="0" borderId="109" xfId="0" applyFont="1" applyFill="1" applyBorder="1" applyAlignment="1" applyProtection="1">
      <alignment horizontal="center" vertical="center"/>
      <protection locked="0" hidden="1"/>
    </xf>
    <xf numFmtId="0" fontId="7" fillId="0" borderId="81" xfId="0" applyFont="1" applyFill="1" applyBorder="1" applyAlignment="1" applyProtection="1">
      <alignment horizontal="left" vertical="center"/>
      <protection hidden="1"/>
    </xf>
    <xf numFmtId="0" fontId="7" fillId="0" borderId="35" xfId="0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 applyProtection="1">
      <alignment horizontal="center" vertical="center"/>
      <protection hidden="1"/>
    </xf>
    <xf numFmtId="0" fontId="7" fillId="0" borderId="82" xfId="0" applyFont="1" applyFill="1" applyBorder="1" applyAlignment="1" applyProtection="1">
      <alignment horizontal="left" vertical="center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0" fontId="7" fillId="0" borderId="38" xfId="0" applyFont="1" applyFill="1" applyBorder="1" applyAlignment="1" applyProtection="1">
      <alignment horizontal="left" vertical="center"/>
      <protection hidden="1"/>
    </xf>
    <xf numFmtId="0" fontId="7" fillId="0" borderId="97" xfId="0" applyFont="1" applyFill="1" applyBorder="1" applyAlignment="1" applyProtection="1">
      <alignment horizontal="left" vertical="center" wrapText="1"/>
      <protection hidden="1"/>
    </xf>
    <xf numFmtId="0" fontId="7" fillId="0" borderId="98" xfId="0" applyFont="1" applyFill="1" applyBorder="1" applyAlignment="1" applyProtection="1">
      <alignment horizontal="left" vertical="center" wrapText="1"/>
      <protection hidden="1"/>
    </xf>
    <xf numFmtId="0" fontId="7" fillId="0" borderId="99" xfId="0" applyFont="1" applyFill="1" applyBorder="1" applyAlignment="1" applyProtection="1">
      <alignment horizontal="left" vertical="center" wrapText="1"/>
      <protection hidden="1"/>
    </xf>
    <xf numFmtId="0" fontId="16" fillId="3" borderId="53" xfId="0" applyFont="1" applyFill="1" applyBorder="1" applyAlignment="1" applyProtection="1">
      <alignment horizontal="center" vertical="center"/>
      <protection hidden="1"/>
    </xf>
    <xf numFmtId="0" fontId="7" fillId="0" borderId="67" xfId="0" applyFont="1" applyFill="1" applyBorder="1" applyAlignment="1" applyProtection="1">
      <alignment horizontal="left" vertical="center" wrapText="1"/>
      <protection hidden="1"/>
    </xf>
    <xf numFmtId="0" fontId="7" fillId="0" borderId="42" xfId="0" applyFont="1" applyFill="1" applyBorder="1" applyAlignment="1" applyProtection="1">
      <alignment horizontal="left" vertical="center" wrapText="1"/>
      <protection hidden="1"/>
    </xf>
    <xf numFmtId="0" fontId="7" fillId="0" borderId="43" xfId="0" applyFont="1" applyFill="1" applyBorder="1" applyAlignment="1" applyProtection="1">
      <alignment horizontal="left" vertical="center" wrapText="1"/>
      <protection hidden="1"/>
    </xf>
    <xf numFmtId="0" fontId="5" fillId="0" borderId="72" xfId="0" applyFont="1" applyFill="1" applyBorder="1" applyAlignment="1" applyProtection="1">
      <alignment horizontal="center" vertical="center"/>
      <protection locked="0" hidden="1"/>
    </xf>
    <xf numFmtId="0" fontId="7" fillId="0" borderId="80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 vertical="center"/>
      <protection locked="0" hidden="1"/>
    </xf>
    <xf numFmtId="0" fontId="7" fillId="0" borderId="54" xfId="0" applyFont="1" applyFill="1" applyBorder="1" applyAlignment="1" applyProtection="1">
      <alignment horizontal="left" vertical="center" wrapText="1"/>
      <protection hidden="1"/>
    </xf>
    <xf numFmtId="0" fontId="7" fillId="0" borderId="69" xfId="0" applyFont="1" applyFill="1" applyBorder="1" applyAlignment="1" applyProtection="1">
      <alignment horizontal="left" vertical="center" wrapText="1"/>
      <protection hidden="1"/>
    </xf>
    <xf numFmtId="0" fontId="7" fillId="0" borderId="83" xfId="0" applyFont="1" applyFill="1" applyBorder="1" applyAlignment="1" applyProtection="1">
      <alignment horizontal="left" vertical="center" wrapText="1"/>
      <protection hidden="1"/>
    </xf>
    <xf numFmtId="0" fontId="7" fillId="0" borderId="71" xfId="0" applyFont="1" applyFill="1" applyBorder="1" applyAlignment="1" applyProtection="1">
      <alignment horizontal="left" vertical="center" wrapText="1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5" fillId="0" borderId="70" xfId="0" applyFont="1" applyFill="1" applyBorder="1" applyAlignment="1" applyProtection="1">
      <alignment horizontal="center" vertical="center"/>
      <protection locked="0"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7" fillId="3" borderId="36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14" xfId="0" applyFont="1" applyFill="1" applyBorder="1" applyAlignment="1" applyProtection="1">
      <alignment horizontal="left" vertical="center"/>
      <protection hidden="1"/>
    </xf>
    <xf numFmtId="0" fontId="7" fillId="0" borderId="57" xfId="0" applyFont="1" applyFill="1" applyBorder="1" applyAlignment="1" applyProtection="1">
      <alignment horizontal="left" vertical="center" wrapText="1"/>
      <protection hidden="1"/>
    </xf>
    <xf numFmtId="0" fontId="7" fillId="0" borderId="58" xfId="0" applyFont="1" applyFill="1" applyBorder="1" applyAlignment="1" applyProtection="1">
      <alignment horizontal="left" vertical="center" wrapText="1"/>
      <protection hidden="1"/>
    </xf>
    <xf numFmtId="0" fontId="7" fillId="0" borderId="59" xfId="0" applyFont="1" applyFill="1" applyBorder="1" applyAlignment="1" applyProtection="1">
      <alignment horizontal="left" vertical="center" wrapText="1"/>
      <protection hidden="1"/>
    </xf>
    <xf numFmtId="0" fontId="5" fillId="0" borderId="55" xfId="0" applyFont="1" applyFill="1" applyBorder="1" applyAlignment="1" applyProtection="1">
      <alignment horizontal="left" vertical="center"/>
      <protection hidden="1"/>
    </xf>
    <xf numFmtId="0" fontId="5" fillId="0" borderId="49" xfId="0" applyFont="1" applyFill="1" applyBorder="1" applyAlignment="1" applyProtection="1">
      <alignment horizontal="left" vertical="center"/>
      <protection hidden="1"/>
    </xf>
    <xf numFmtId="0" fontId="5" fillId="0" borderId="51" xfId="0" applyFont="1" applyFill="1" applyBorder="1" applyAlignment="1" applyProtection="1">
      <alignment horizontal="left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2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87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107" xfId="0" applyFont="1" applyBorder="1" applyAlignment="1" applyProtection="1">
      <alignment horizontal="center" vertical="center" wrapText="1"/>
    </xf>
    <xf numFmtId="0" fontId="2" fillId="0" borderId="108" xfId="0" applyFont="1" applyBorder="1" applyAlignment="1" applyProtection="1">
      <alignment horizontal="center" vertical="center" wrapText="1"/>
    </xf>
    <xf numFmtId="0" fontId="2" fillId="0" borderId="89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90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" fillId="7" borderId="103" xfId="1" applyFont="1" applyFill="1" applyBorder="1" applyAlignment="1">
      <alignment horizontal="center" vertical="center" wrapText="1"/>
    </xf>
    <xf numFmtId="0" fontId="1" fillId="7" borderId="104" xfId="1" applyFont="1" applyFill="1" applyBorder="1" applyAlignment="1">
      <alignment horizontal="center" vertical="center" wrapText="1"/>
    </xf>
    <xf numFmtId="0" fontId="1" fillId="7" borderId="78" xfId="1" applyFont="1" applyFill="1" applyBorder="1" applyAlignment="1">
      <alignment horizontal="center" vertical="center" wrapText="1"/>
    </xf>
    <xf numFmtId="0" fontId="1" fillId="8" borderId="96" xfId="0" applyFont="1" applyFill="1" applyBorder="1" applyAlignment="1">
      <alignment horizontal="left" vertical="center"/>
    </xf>
    <xf numFmtId="0" fontId="1" fillId="8" borderId="35" xfId="0" applyFont="1" applyFill="1" applyBorder="1" applyAlignment="1">
      <alignment horizontal="left" vertical="center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left" vertical="center" wrapText="1"/>
      <protection hidden="1"/>
    </xf>
    <xf numFmtId="0" fontId="20" fillId="3" borderId="25" xfId="0" applyFont="1" applyFill="1" applyBorder="1" applyAlignment="1" applyProtection="1">
      <alignment horizontal="left" vertical="center" wrapText="1"/>
      <protection hidden="1"/>
    </xf>
    <xf numFmtId="0" fontId="5" fillId="0" borderId="110" xfId="0" applyFont="1" applyFill="1" applyBorder="1" applyAlignment="1" applyProtection="1">
      <alignment horizontal="center" vertical="center"/>
      <protection locked="0" hidden="1"/>
    </xf>
  </cellXfs>
  <cellStyles count="2">
    <cellStyle name="Обычный" xfId="0" builtinId="0"/>
    <cellStyle name="Обычный 2 2" xfId="1"/>
  </cellStyles>
  <dxfs count="362"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C00000"/>
      </font>
      <fill>
        <patternFill patternType="solid"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lsys.by/news/articles/vyklyuchateli-nagruzki-nal-obshchie-ponyatiya-osobennosti-i-preimushchestva-otnositelno-analogov.html" TargetMode="External"/><Relationship Id="rId7" Type="http://schemas.openxmlformats.org/officeDocument/2006/relationships/hyperlink" Target="https://lsys.by/upload/doc/abb/abb_nal_mv_indoor_switch_disconnector_and_switch_fuse_combination_2021_en.pd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sys.by/katalog/raspredelenie_elektroenergii/vyklyuchateli_nagruzki/?arrFilter_P1_MIN=&amp;arrFilter_P1_MAX=&amp;arrFilter_365_2929620587=Y&amp;arrFilter_370_278178118=Y&amp;arrFilter_393_MIN=&amp;arrFilter_393_MAX=&amp;set_filter=%D0%9F%D1%80%D0%B8%D0%BC%D0%B5%D0%BD%D0%25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lsys.by/upload/doc/abb/abb_nal_mv_indoor_switch_disconnector_and_switch_fuse_combination_2012_ru.pdf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lsys.by/upload/doc/abb/abb_nal_installation_and_operating_instructions_2021_en.pdf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lsys.by/news/articles/vyklyuchateli-nagruzki-nal-obshchie-ponyatiya-osobennosti-i-preimushchestva-otnositelno-analogov.html" TargetMode="External"/><Relationship Id="rId7" Type="http://schemas.openxmlformats.org/officeDocument/2006/relationships/hyperlink" Target="https://lsys.by/upload/doc/abb/abb_nal_mv_indoor_switch_disconnector_and_switch_fuse_combination_2021_en.pd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sys.by/katalog/raspredelenie_elektroenergii/vyklyuchateli_nagruzki/?arrFilter_P1_MIN=&amp;arrFilter_P1_MAX=&amp;arrFilter_365_2929620587=Y&amp;arrFilter_370_278178118=Y&amp;arrFilter_393_MIN=&amp;arrFilter_393_MAX=&amp;set_filter=%D0%9F%D1%80%D0%B8%D0%BC%D0%B5%D0%BD%D0%25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lsys.by/upload/doc/abb/abb_nal_mv_indoor_switch_disconnector_and_switch_fuse_combination_2012_ru.pdf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lsys.by/upload/doc/abb/abb_nal_installation_and_operating_instructions_2021_en.pdf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lsys.by/news/articles/vyklyuchateli-nagruzki-nal-obshchie-ponyatiya-osobennosti-i-preimushchestva-otnositelno-analogov.html" TargetMode="External"/><Relationship Id="rId7" Type="http://schemas.openxmlformats.org/officeDocument/2006/relationships/hyperlink" Target="https://lsys.by/upload/doc/abb/abb_nal_mv_indoor_switch_disconnector_and_switch_fuse_combination_2021_en.pd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sys.by/katalog/raspredelenie_elektroenergii/vyklyuchateli_nagruzki/?arrFilter_P1_MIN=&amp;arrFilter_P1_MAX=&amp;arrFilter_365_2929620587=Y&amp;arrFilter_370_278178118=Y&amp;arrFilter_393_MIN=&amp;arrFilter_393_MAX=&amp;set_filter=%D0%9F%D1%80%D0%B8%D0%BC%D0%B5%D0%BD%D0%25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lsys.by/upload/doc/abb/abb_nal_mv_indoor_switch_disconnector_and_switch_fuse_combination_2012_ru.pdf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lsys.by/upload/doc/abb/abb_nal_installation_and_operating_instructions_2021_en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28775</xdr:colOff>
      <xdr:row>61</xdr:row>
      <xdr:rowOff>234897</xdr:rowOff>
    </xdr:from>
    <xdr:to>
      <xdr:col>7</xdr:col>
      <xdr:colOff>206506</xdr:colOff>
      <xdr:row>68</xdr:row>
      <xdr:rowOff>150742</xdr:rowOff>
    </xdr:to>
    <xdr:grpSp>
      <xdr:nvGrpSpPr>
        <xdr:cNvPr id="22" name="Группа 21">
          <a:hlinkClick xmlns:r="http://schemas.openxmlformats.org/officeDocument/2006/relationships" r:id="rId1"/>
        </xdr:cNvPr>
        <xdr:cNvGrpSpPr/>
      </xdr:nvGrpSpPr>
      <xdr:grpSpPr>
        <a:xfrm>
          <a:off x="5689346" y="15583754"/>
          <a:ext cx="1375160" cy="1562309"/>
          <a:chOff x="13051553" y="11850697"/>
          <a:chExt cx="1372686" cy="1573937"/>
        </a:xfrm>
      </xdr:grpSpPr>
      <xdr:pic>
        <xdr:nvPicPr>
          <xdr:cNvPr id="4" name="Рисунок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97896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7" name="Скругленный прямоугольник 6"/>
          <xdr:cNvSpPr/>
        </xdr:nvSpPr>
        <xdr:spPr>
          <a:xfrm>
            <a:off x="13051553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КАТАЛОГ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 КОМПЛЕКТУЮЩИХ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7</xdr:col>
      <xdr:colOff>754882</xdr:colOff>
      <xdr:row>61</xdr:row>
      <xdr:rowOff>234897</xdr:rowOff>
    </xdr:from>
    <xdr:to>
      <xdr:col>9</xdr:col>
      <xdr:colOff>606537</xdr:colOff>
      <xdr:row>68</xdr:row>
      <xdr:rowOff>150742</xdr:rowOff>
    </xdr:to>
    <xdr:grpSp>
      <xdr:nvGrpSpPr>
        <xdr:cNvPr id="23" name="Группа 22">
          <a:hlinkClick xmlns:r="http://schemas.openxmlformats.org/officeDocument/2006/relationships" r:id="rId3"/>
        </xdr:cNvPr>
        <xdr:cNvGrpSpPr/>
      </xdr:nvGrpSpPr>
      <xdr:grpSpPr>
        <a:xfrm>
          <a:off x="7612882" y="15583754"/>
          <a:ext cx="1389262" cy="1562309"/>
          <a:chOff x="14479047" y="11850697"/>
          <a:chExt cx="1372686" cy="1573937"/>
        </a:xfrm>
      </xdr:grpSpPr>
      <xdr:pic>
        <xdr:nvPicPr>
          <xdr:cNvPr id="10" name="Рисунок 9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25390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12" name="Скругленный прямоугольник 11"/>
          <xdr:cNvSpPr/>
        </xdr:nvSpPr>
        <xdr:spPr>
          <a:xfrm>
            <a:off x="14479047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СТАТЬЯ</a:t>
            </a:r>
            <a:endParaRPr lang="ru-RU" sz="1000" b="1" baseline="0">
              <a:ln>
                <a:noFill/>
              </a:ln>
              <a:solidFill>
                <a:sysClr val="windowText" lastClr="000000"/>
              </a:solidFill>
            </a:endParaRPr>
          </a:p>
          <a:p>
            <a:pPr algn="ctr"/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О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 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ВН-10кВ "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NAL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"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10</xdr:col>
      <xdr:colOff>254368</xdr:colOff>
      <xdr:row>61</xdr:row>
      <xdr:rowOff>234897</xdr:rowOff>
    </xdr:from>
    <xdr:to>
      <xdr:col>10</xdr:col>
      <xdr:colOff>1627054</xdr:colOff>
      <xdr:row>68</xdr:row>
      <xdr:rowOff>150742</xdr:rowOff>
    </xdr:to>
    <xdr:grpSp>
      <xdr:nvGrpSpPr>
        <xdr:cNvPr id="24" name="Группа 23">
          <a:hlinkClick xmlns:r="http://schemas.openxmlformats.org/officeDocument/2006/relationships" r:id="rId5"/>
        </xdr:cNvPr>
        <xdr:cNvGrpSpPr/>
      </xdr:nvGrpSpPr>
      <xdr:grpSpPr>
        <a:xfrm>
          <a:off x="9561654" y="15583754"/>
          <a:ext cx="1372686" cy="1562309"/>
          <a:chOff x="15906541" y="11850697"/>
          <a:chExt cx="1372686" cy="1573937"/>
        </a:xfrm>
      </xdr:grpSpPr>
      <xdr:pic>
        <xdr:nvPicPr>
          <xdr:cNvPr id="13" name="Рисунок 12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52884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14" name="Скругленный прямоугольник 13"/>
          <xdr:cNvSpPr/>
        </xdr:nvSpPr>
        <xdr:spPr>
          <a:xfrm>
            <a:off x="15906541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ТЕХНИЧЕСКОЕ</a:t>
            </a:r>
          </a:p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РУКОВОДСТВО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 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(RU)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408975</xdr:colOff>
      <xdr:row>61</xdr:row>
      <xdr:rowOff>234897</xdr:rowOff>
    </xdr:from>
    <xdr:to>
      <xdr:col>12</xdr:col>
      <xdr:colOff>884084</xdr:colOff>
      <xdr:row>68</xdr:row>
      <xdr:rowOff>150742</xdr:rowOff>
    </xdr:to>
    <xdr:grpSp>
      <xdr:nvGrpSpPr>
        <xdr:cNvPr id="25" name="Группа 24">
          <a:hlinkClick xmlns:r="http://schemas.openxmlformats.org/officeDocument/2006/relationships" r:id="rId7"/>
        </xdr:cNvPr>
        <xdr:cNvGrpSpPr/>
      </xdr:nvGrpSpPr>
      <xdr:grpSpPr>
        <a:xfrm>
          <a:off x="11485189" y="15583754"/>
          <a:ext cx="1386788" cy="1562309"/>
          <a:chOff x="17334035" y="11850697"/>
          <a:chExt cx="1372686" cy="1573937"/>
        </a:xfrm>
      </xdr:grpSpPr>
      <xdr:pic>
        <xdr:nvPicPr>
          <xdr:cNvPr id="15" name="Рисунок 14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480378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16" name="Скругленный прямоугольник 15"/>
          <xdr:cNvSpPr/>
        </xdr:nvSpPr>
        <xdr:spPr>
          <a:xfrm>
            <a:off x="17334035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ТЕХНИЧЕСКОЕ</a:t>
            </a:r>
          </a:p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РУКОВОДСТВО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 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(EN)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237507</xdr:colOff>
      <xdr:row>61</xdr:row>
      <xdr:rowOff>234897</xdr:rowOff>
    </xdr:from>
    <xdr:to>
      <xdr:col>15</xdr:col>
      <xdr:colOff>89163</xdr:colOff>
      <xdr:row>68</xdr:row>
      <xdr:rowOff>150742</xdr:rowOff>
    </xdr:to>
    <xdr:grpSp>
      <xdr:nvGrpSpPr>
        <xdr:cNvPr id="26" name="Группа 25">
          <a:hlinkClick xmlns:r="http://schemas.openxmlformats.org/officeDocument/2006/relationships" r:id="rId9"/>
        </xdr:cNvPr>
        <xdr:cNvGrpSpPr/>
      </xdr:nvGrpSpPr>
      <xdr:grpSpPr>
        <a:xfrm>
          <a:off x="13422828" y="15583754"/>
          <a:ext cx="1389264" cy="1562309"/>
          <a:chOff x="18761529" y="11850697"/>
          <a:chExt cx="1372686" cy="1573937"/>
        </a:xfrm>
      </xdr:grpSpPr>
      <xdr:pic>
        <xdr:nvPicPr>
          <xdr:cNvPr id="17" name="Рисунок 16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907872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21" name="Скругленный прямоугольник 20"/>
          <xdr:cNvSpPr/>
        </xdr:nvSpPr>
        <xdr:spPr>
          <a:xfrm>
            <a:off x="18761529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800" b="1" baseline="0">
                <a:ln>
                  <a:noFill/>
                </a:ln>
                <a:solidFill>
                  <a:sysClr val="windowText" lastClr="000000"/>
                </a:solidFill>
              </a:rPr>
              <a:t>ИНСТРУКЦИЯ ПО</a:t>
            </a:r>
          </a:p>
          <a:p>
            <a:pPr algn="ctr"/>
            <a:r>
              <a:rPr lang="ru-RU" sz="800" b="1" baseline="0">
                <a:ln>
                  <a:noFill/>
                </a:ln>
                <a:solidFill>
                  <a:sysClr val="windowText" lastClr="000000"/>
                </a:solidFill>
              </a:rPr>
              <a:t>СБОРКЕ И МОНТАЖУ </a:t>
            </a:r>
            <a:r>
              <a:rPr lang="en-US" sz="800" b="1" baseline="0">
                <a:ln>
                  <a:noFill/>
                </a:ln>
                <a:solidFill>
                  <a:sysClr val="windowText" lastClr="000000"/>
                </a:solidFill>
              </a:rPr>
              <a:t>(EN)</a:t>
            </a:r>
            <a:endParaRPr lang="ru-RU" sz="8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28775</xdr:colOff>
      <xdr:row>61</xdr:row>
      <xdr:rowOff>234897</xdr:rowOff>
    </xdr:from>
    <xdr:to>
      <xdr:col>7</xdr:col>
      <xdr:colOff>206506</xdr:colOff>
      <xdr:row>68</xdr:row>
      <xdr:rowOff>150742</xdr:rowOff>
    </xdr:to>
    <xdr:grpSp>
      <xdr:nvGrpSpPr>
        <xdr:cNvPr id="2" name="Группа 1">
          <a:hlinkClick xmlns:r="http://schemas.openxmlformats.org/officeDocument/2006/relationships" r:id="rId1"/>
        </xdr:cNvPr>
        <xdr:cNvGrpSpPr/>
      </xdr:nvGrpSpPr>
      <xdr:grpSpPr>
        <a:xfrm>
          <a:off x="5689346" y="15583754"/>
          <a:ext cx="1375160" cy="1562309"/>
          <a:chOff x="13051553" y="11850697"/>
          <a:chExt cx="1372686" cy="1573937"/>
        </a:xfrm>
      </xdr:grpSpPr>
      <xdr:pic>
        <xdr:nvPicPr>
          <xdr:cNvPr id="3" name="Рисунок 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97896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4" name="Скругленный прямоугольник 3"/>
          <xdr:cNvSpPr/>
        </xdr:nvSpPr>
        <xdr:spPr>
          <a:xfrm>
            <a:off x="13051553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КАТАЛОГ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 КОМПЛЕКТУЮЩИХ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7</xdr:col>
      <xdr:colOff>754882</xdr:colOff>
      <xdr:row>61</xdr:row>
      <xdr:rowOff>234897</xdr:rowOff>
    </xdr:from>
    <xdr:to>
      <xdr:col>9</xdr:col>
      <xdr:colOff>606537</xdr:colOff>
      <xdr:row>68</xdr:row>
      <xdr:rowOff>150742</xdr:rowOff>
    </xdr:to>
    <xdr:grpSp>
      <xdr:nvGrpSpPr>
        <xdr:cNvPr id="5" name="Группа 4">
          <a:hlinkClick xmlns:r="http://schemas.openxmlformats.org/officeDocument/2006/relationships" r:id="rId3"/>
        </xdr:cNvPr>
        <xdr:cNvGrpSpPr/>
      </xdr:nvGrpSpPr>
      <xdr:grpSpPr>
        <a:xfrm>
          <a:off x="7612882" y="15583754"/>
          <a:ext cx="1389262" cy="1562309"/>
          <a:chOff x="14479047" y="11850697"/>
          <a:chExt cx="1372686" cy="1573937"/>
        </a:xfrm>
      </xdr:grpSpPr>
      <xdr:pic>
        <xdr:nvPicPr>
          <xdr:cNvPr id="6" name="Рисунок 5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25390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7" name="Скругленный прямоугольник 6"/>
          <xdr:cNvSpPr/>
        </xdr:nvSpPr>
        <xdr:spPr>
          <a:xfrm>
            <a:off x="14479047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СТАТЬЯ</a:t>
            </a:r>
            <a:endParaRPr lang="ru-RU" sz="1000" b="1" baseline="0">
              <a:ln>
                <a:noFill/>
              </a:ln>
              <a:solidFill>
                <a:sysClr val="windowText" lastClr="000000"/>
              </a:solidFill>
            </a:endParaRPr>
          </a:p>
          <a:p>
            <a:pPr algn="ctr"/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О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 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ВН-10кВ "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NAL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"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10</xdr:col>
      <xdr:colOff>254368</xdr:colOff>
      <xdr:row>61</xdr:row>
      <xdr:rowOff>234897</xdr:rowOff>
    </xdr:from>
    <xdr:to>
      <xdr:col>10</xdr:col>
      <xdr:colOff>1627054</xdr:colOff>
      <xdr:row>68</xdr:row>
      <xdr:rowOff>150742</xdr:rowOff>
    </xdr:to>
    <xdr:grpSp>
      <xdr:nvGrpSpPr>
        <xdr:cNvPr id="8" name="Группа 7">
          <a:hlinkClick xmlns:r="http://schemas.openxmlformats.org/officeDocument/2006/relationships" r:id="rId5"/>
        </xdr:cNvPr>
        <xdr:cNvGrpSpPr/>
      </xdr:nvGrpSpPr>
      <xdr:grpSpPr>
        <a:xfrm>
          <a:off x="9561654" y="15583754"/>
          <a:ext cx="1372686" cy="1562309"/>
          <a:chOff x="15906541" y="11850697"/>
          <a:chExt cx="1372686" cy="1573937"/>
        </a:xfrm>
      </xdr:grpSpPr>
      <xdr:pic>
        <xdr:nvPicPr>
          <xdr:cNvPr id="9" name="Рисунок 8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52884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10" name="Скругленный прямоугольник 9"/>
          <xdr:cNvSpPr/>
        </xdr:nvSpPr>
        <xdr:spPr>
          <a:xfrm>
            <a:off x="15906541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ТЕХНИЧЕСКОЕ</a:t>
            </a:r>
          </a:p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РУКОВОДСТВО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 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(RU)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408975</xdr:colOff>
      <xdr:row>61</xdr:row>
      <xdr:rowOff>234897</xdr:rowOff>
    </xdr:from>
    <xdr:to>
      <xdr:col>12</xdr:col>
      <xdr:colOff>884084</xdr:colOff>
      <xdr:row>68</xdr:row>
      <xdr:rowOff>150742</xdr:rowOff>
    </xdr:to>
    <xdr:grpSp>
      <xdr:nvGrpSpPr>
        <xdr:cNvPr id="11" name="Группа 10">
          <a:hlinkClick xmlns:r="http://schemas.openxmlformats.org/officeDocument/2006/relationships" r:id="rId7"/>
        </xdr:cNvPr>
        <xdr:cNvGrpSpPr/>
      </xdr:nvGrpSpPr>
      <xdr:grpSpPr>
        <a:xfrm>
          <a:off x="11485189" y="15583754"/>
          <a:ext cx="1386788" cy="1562309"/>
          <a:chOff x="17334035" y="11850697"/>
          <a:chExt cx="1372686" cy="1573937"/>
        </a:xfrm>
      </xdr:grpSpPr>
      <xdr:pic>
        <xdr:nvPicPr>
          <xdr:cNvPr id="12" name="Рисунок 11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480378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13" name="Скругленный прямоугольник 12"/>
          <xdr:cNvSpPr/>
        </xdr:nvSpPr>
        <xdr:spPr>
          <a:xfrm>
            <a:off x="17334035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ТЕХНИЧЕСКОЕ</a:t>
            </a:r>
          </a:p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РУКОВОДСТВО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 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(EN)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237507</xdr:colOff>
      <xdr:row>61</xdr:row>
      <xdr:rowOff>234897</xdr:rowOff>
    </xdr:from>
    <xdr:to>
      <xdr:col>15</xdr:col>
      <xdr:colOff>89163</xdr:colOff>
      <xdr:row>68</xdr:row>
      <xdr:rowOff>150742</xdr:rowOff>
    </xdr:to>
    <xdr:grpSp>
      <xdr:nvGrpSpPr>
        <xdr:cNvPr id="14" name="Группа 13">
          <a:hlinkClick xmlns:r="http://schemas.openxmlformats.org/officeDocument/2006/relationships" r:id="rId9"/>
        </xdr:cNvPr>
        <xdr:cNvGrpSpPr/>
      </xdr:nvGrpSpPr>
      <xdr:grpSpPr>
        <a:xfrm>
          <a:off x="13422828" y="15583754"/>
          <a:ext cx="1389264" cy="1562309"/>
          <a:chOff x="18761529" y="11850697"/>
          <a:chExt cx="1372686" cy="1573937"/>
        </a:xfrm>
      </xdr:grpSpPr>
      <xdr:pic>
        <xdr:nvPicPr>
          <xdr:cNvPr id="15" name="Рисунок 14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907872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16" name="Скругленный прямоугольник 15"/>
          <xdr:cNvSpPr/>
        </xdr:nvSpPr>
        <xdr:spPr>
          <a:xfrm>
            <a:off x="18761529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800" b="1" baseline="0">
                <a:ln>
                  <a:noFill/>
                </a:ln>
                <a:solidFill>
                  <a:sysClr val="windowText" lastClr="000000"/>
                </a:solidFill>
              </a:rPr>
              <a:t>ИНСТРУКЦИЯ ПО</a:t>
            </a:r>
          </a:p>
          <a:p>
            <a:pPr algn="ctr"/>
            <a:r>
              <a:rPr lang="ru-RU" sz="800" b="1" baseline="0">
                <a:ln>
                  <a:noFill/>
                </a:ln>
                <a:solidFill>
                  <a:sysClr val="windowText" lastClr="000000"/>
                </a:solidFill>
              </a:rPr>
              <a:t>СБОРКЕ И МОНТАЖУ </a:t>
            </a:r>
            <a:r>
              <a:rPr lang="en-US" sz="800" b="1" baseline="0">
                <a:ln>
                  <a:noFill/>
                </a:ln>
                <a:solidFill>
                  <a:sysClr val="windowText" lastClr="000000"/>
                </a:solidFill>
              </a:rPr>
              <a:t>(EN)</a:t>
            </a:r>
            <a:endParaRPr lang="ru-RU" sz="8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28775</xdr:colOff>
      <xdr:row>61</xdr:row>
      <xdr:rowOff>234897</xdr:rowOff>
    </xdr:from>
    <xdr:to>
      <xdr:col>7</xdr:col>
      <xdr:colOff>206506</xdr:colOff>
      <xdr:row>68</xdr:row>
      <xdr:rowOff>150742</xdr:rowOff>
    </xdr:to>
    <xdr:grpSp>
      <xdr:nvGrpSpPr>
        <xdr:cNvPr id="2" name="Группа 1">
          <a:hlinkClick xmlns:r="http://schemas.openxmlformats.org/officeDocument/2006/relationships" r:id="rId1"/>
        </xdr:cNvPr>
        <xdr:cNvGrpSpPr/>
      </xdr:nvGrpSpPr>
      <xdr:grpSpPr>
        <a:xfrm>
          <a:off x="5689346" y="15583754"/>
          <a:ext cx="1375160" cy="1562309"/>
          <a:chOff x="13051553" y="11850697"/>
          <a:chExt cx="1372686" cy="1573937"/>
        </a:xfrm>
      </xdr:grpSpPr>
      <xdr:pic>
        <xdr:nvPicPr>
          <xdr:cNvPr id="3" name="Рисунок 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97896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4" name="Скругленный прямоугольник 3"/>
          <xdr:cNvSpPr/>
        </xdr:nvSpPr>
        <xdr:spPr>
          <a:xfrm>
            <a:off x="13051553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КАТАЛОГ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 КОМПЛЕКТУЮЩИХ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7</xdr:col>
      <xdr:colOff>754882</xdr:colOff>
      <xdr:row>61</xdr:row>
      <xdr:rowOff>234897</xdr:rowOff>
    </xdr:from>
    <xdr:to>
      <xdr:col>9</xdr:col>
      <xdr:colOff>606537</xdr:colOff>
      <xdr:row>68</xdr:row>
      <xdr:rowOff>150742</xdr:rowOff>
    </xdr:to>
    <xdr:grpSp>
      <xdr:nvGrpSpPr>
        <xdr:cNvPr id="5" name="Группа 4">
          <a:hlinkClick xmlns:r="http://schemas.openxmlformats.org/officeDocument/2006/relationships" r:id="rId3"/>
        </xdr:cNvPr>
        <xdr:cNvGrpSpPr/>
      </xdr:nvGrpSpPr>
      <xdr:grpSpPr>
        <a:xfrm>
          <a:off x="7612882" y="15583754"/>
          <a:ext cx="1389262" cy="1562309"/>
          <a:chOff x="14479047" y="11850697"/>
          <a:chExt cx="1372686" cy="1573937"/>
        </a:xfrm>
      </xdr:grpSpPr>
      <xdr:pic>
        <xdr:nvPicPr>
          <xdr:cNvPr id="6" name="Рисунок 5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25390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7" name="Скругленный прямоугольник 6"/>
          <xdr:cNvSpPr/>
        </xdr:nvSpPr>
        <xdr:spPr>
          <a:xfrm>
            <a:off x="14479047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СТАТЬЯ</a:t>
            </a:r>
            <a:endParaRPr lang="ru-RU" sz="1000" b="1" baseline="0">
              <a:ln>
                <a:noFill/>
              </a:ln>
              <a:solidFill>
                <a:sysClr val="windowText" lastClr="000000"/>
              </a:solidFill>
            </a:endParaRPr>
          </a:p>
          <a:p>
            <a:pPr algn="ctr"/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О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 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ВН-10кВ "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NAL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"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10</xdr:col>
      <xdr:colOff>254368</xdr:colOff>
      <xdr:row>61</xdr:row>
      <xdr:rowOff>234897</xdr:rowOff>
    </xdr:from>
    <xdr:to>
      <xdr:col>10</xdr:col>
      <xdr:colOff>1627054</xdr:colOff>
      <xdr:row>68</xdr:row>
      <xdr:rowOff>150742</xdr:rowOff>
    </xdr:to>
    <xdr:grpSp>
      <xdr:nvGrpSpPr>
        <xdr:cNvPr id="8" name="Группа 7">
          <a:hlinkClick xmlns:r="http://schemas.openxmlformats.org/officeDocument/2006/relationships" r:id="rId5"/>
        </xdr:cNvPr>
        <xdr:cNvGrpSpPr/>
      </xdr:nvGrpSpPr>
      <xdr:grpSpPr>
        <a:xfrm>
          <a:off x="9561654" y="15583754"/>
          <a:ext cx="1372686" cy="1562309"/>
          <a:chOff x="15906541" y="11850697"/>
          <a:chExt cx="1372686" cy="1573937"/>
        </a:xfrm>
      </xdr:grpSpPr>
      <xdr:pic>
        <xdr:nvPicPr>
          <xdr:cNvPr id="9" name="Рисунок 8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52884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10" name="Скругленный прямоугольник 9"/>
          <xdr:cNvSpPr/>
        </xdr:nvSpPr>
        <xdr:spPr>
          <a:xfrm>
            <a:off x="15906541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ТЕХНИЧЕСКОЕ</a:t>
            </a:r>
          </a:p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РУКОВОДСТВО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 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(RU)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408975</xdr:colOff>
      <xdr:row>61</xdr:row>
      <xdr:rowOff>234897</xdr:rowOff>
    </xdr:from>
    <xdr:to>
      <xdr:col>12</xdr:col>
      <xdr:colOff>884084</xdr:colOff>
      <xdr:row>68</xdr:row>
      <xdr:rowOff>150742</xdr:rowOff>
    </xdr:to>
    <xdr:grpSp>
      <xdr:nvGrpSpPr>
        <xdr:cNvPr id="11" name="Группа 10">
          <a:hlinkClick xmlns:r="http://schemas.openxmlformats.org/officeDocument/2006/relationships" r:id="rId7"/>
        </xdr:cNvPr>
        <xdr:cNvGrpSpPr/>
      </xdr:nvGrpSpPr>
      <xdr:grpSpPr>
        <a:xfrm>
          <a:off x="11485189" y="15583754"/>
          <a:ext cx="1386788" cy="1562309"/>
          <a:chOff x="17334035" y="11850697"/>
          <a:chExt cx="1372686" cy="1573937"/>
        </a:xfrm>
      </xdr:grpSpPr>
      <xdr:pic>
        <xdr:nvPicPr>
          <xdr:cNvPr id="12" name="Рисунок 11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480378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13" name="Скругленный прямоугольник 12"/>
          <xdr:cNvSpPr/>
        </xdr:nvSpPr>
        <xdr:spPr>
          <a:xfrm>
            <a:off x="17334035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ТЕХНИЧЕСКОЕ</a:t>
            </a:r>
          </a:p>
          <a:p>
            <a:pPr algn="ctr"/>
            <a:r>
              <a:rPr lang="ru-RU" sz="1000" b="1">
                <a:ln>
                  <a:noFill/>
                </a:ln>
                <a:solidFill>
                  <a:sysClr val="windowText" lastClr="000000"/>
                </a:solidFill>
              </a:rPr>
              <a:t>РУКОВОДСТВО</a:t>
            </a:r>
            <a:r>
              <a:rPr lang="ru-RU" sz="1000" b="1" baseline="0">
                <a:ln>
                  <a:noFill/>
                </a:ln>
                <a:solidFill>
                  <a:sysClr val="windowText" lastClr="000000"/>
                </a:solidFill>
              </a:rPr>
              <a:t> </a:t>
            </a:r>
            <a:r>
              <a:rPr lang="en-US" sz="1000" b="1" baseline="0">
                <a:ln>
                  <a:noFill/>
                </a:ln>
                <a:solidFill>
                  <a:sysClr val="windowText" lastClr="000000"/>
                </a:solidFill>
              </a:rPr>
              <a:t>(EN)</a:t>
            </a:r>
            <a:endParaRPr lang="ru-RU" sz="10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237507</xdr:colOff>
      <xdr:row>61</xdr:row>
      <xdr:rowOff>234897</xdr:rowOff>
    </xdr:from>
    <xdr:to>
      <xdr:col>15</xdr:col>
      <xdr:colOff>89163</xdr:colOff>
      <xdr:row>68</xdr:row>
      <xdr:rowOff>150742</xdr:rowOff>
    </xdr:to>
    <xdr:grpSp>
      <xdr:nvGrpSpPr>
        <xdr:cNvPr id="14" name="Группа 13">
          <a:hlinkClick xmlns:r="http://schemas.openxmlformats.org/officeDocument/2006/relationships" r:id="rId9"/>
        </xdr:cNvPr>
        <xdr:cNvGrpSpPr/>
      </xdr:nvGrpSpPr>
      <xdr:grpSpPr>
        <a:xfrm>
          <a:off x="13422828" y="15583754"/>
          <a:ext cx="1389264" cy="1562309"/>
          <a:chOff x="18761529" y="11850697"/>
          <a:chExt cx="1372686" cy="1573937"/>
        </a:xfrm>
      </xdr:grpSpPr>
      <xdr:pic>
        <xdr:nvPicPr>
          <xdr:cNvPr id="15" name="Рисунок 14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907872" y="11850697"/>
            <a:ext cx="1080000" cy="1080000"/>
          </a:xfrm>
          <a:prstGeom prst="rect">
            <a:avLst/>
          </a:prstGeom>
        </xdr:spPr>
      </xdr:pic>
      <xdr:sp macro="" textlink="">
        <xdr:nvSpPr>
          <xdr:cNvPr id="16" name="Скругленный прямоугольник 15"/>
          <xdr:cNvSpPr/>
        </xdr:nvSpPr>
        <xdr:spPr>
          <a:xfrm>
            <a:off x="18761529" y="12954330"/>
            <a:ext cx="1372686" cy="470304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800" b="1" baseline="0">
                <a:ln>
                  <a:noFill/>
                </a:ln>
                <a:solidFill>
                  <a:sysClr val="windowText" lastClr="000000"/>
                </a:solidFill>
              </a:rPr>
              <a:t>ИНСТРУКЦИЯ ПО</a:t>
            </a:r>
          </a:p>
          <a:p>
            <a:pPr algn="ctr"/>
            <a:r>
              <a:rPr lang="ru-RU" sz="800" b="1" baseline="0">
                <a:ln>
                  <a:noFill/>
                </a:ln>
                <a:solidFill>
                  <a:sysClr val="windowText" lastClr="000000"/>
                </a:solidFill>
              </a:rPr>
              <a:t>СБОРКЕ И МОНТАЖУ </a:t>
            </a:r>
            <a:r>
              <a:rPr lang="en-US" sz="800" b="1" baseline="0">
                <a:ln>
                  <a:noFill/>
                </a:ln>
                <a:solidFill>
                  <a:sysClr val="windowText" lastClr="000000"/>
                </a:solidFill>
              </a:rPr>
              <a:t>(EN)</a:t>
            </a:r>
            <a:endParaRPr lang="ru-RU" sz="800" b="1">
              <a:ln>
                <a:noFill/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71"/>
  <sheetViews>
    <sheetView tabSelected="1" zoomScale="70" zoomScaleNormal="70" zoomScaleSheetLayoutView="85" zoomScalePageLayoutView="40" workbookViewId="0">
      <selection activeCell="B2" sqref="B2:R2"/>
    </sheetView>
  </sheetViews>
  <sheetFormatPr defaultRowHeight="18" x14ac:dyDescent="0.2"/>
  <cols>
    <col min="1" max="1" width="9.33203125" style="16"/>
    <col min="2" max="2" width="15.83203125" style="16" customWidth="1"/>
    <col min="3" max="3" width="10.83203125" style="16" customWidth="1"/>
    <col min="4" max="4" width="15.83203125" style="16" customWidth="1"/>
    <col min="5" max="5" width="30.83203125" style="16" customWidth="1"/>
    <col min="6" max="6" width="15.83203125" style="16" customWidth="1"/>
    <col min="7" max="7" width="20.83203125" style="16" customWidth="1"/>
    <col min="8" max="8" width="15.83203125" style="16" customWidth="1"/>
    <col min="9" max="9" width="10.83203125" style="16" customWidth="1"/>
    <col min="10" max="10" width="15.83203125" style="16" customWidth="1"/>
    <col min="11" max="11" width="30.83203125" style="16" customWidth="1"/>
    <col min="12" max="12" width="15.83203125" style="16" customWidth="1"/>
    <col min="13" max="13" width="20.83203125" style="16" customWidth="1"/>
    <col min="14" max="14" width="15.83203125" style="16" customWidth="1"/>
    <col min="15" max="15" width="10.83203125" style="16" customWidth="1"/>
    <col min="16" max="16" width="60.83203125" style="16" customWidth="1"/>
    <col min="17" max="17" width="20.83203125" style="16" customWidth="1"/>
    <col min="18" max="18" width="15.83203125" style="16" customWidth="1"/>
    <col min="19" max="16384" width="9.33203125" style="16"/>
  </cols>
  <sheetData>
    <row r="1" spans="1:18" ht="18.75" thickBot="1" x14ac:dyDescent="0.25"/>
    <row r="2" spans="1:18" ht="30" customHeight="1" thickTop="1" thickBot="1" x14ac:dyDescent="0.25">
      <c r="B2" s="184" t="s">
        <v>79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6"/>
    </row>
    <row r="3" spans="1:18" ht="18.75" thickTop="1" x14ac:dyDescent="0.2">
      <c r="B3" s="32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33"/>
    </row>
    <row r="4" spans="1:18" ht="20.100000000000001" customHeight="1" x14ac:dyDescent="0.2">
      <c r="A4" s="28"/>
      <c r="B4" s="36"/>
      <c r="C4" s="153" t="s">
        <v>166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1"/>
      <c r="R4" s="39"/>
    </row>
    <row r="5" spans="1:18" ht="20.100000000000001" customHeight="1" x14ac:dyDescent="0.2">
      <c r="A5" s="28"/>
      <c r="B5" s="36"/>
      <c r="C5" s="154" t="s">
        <v>69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82"/>
      <c r="R5" s="39"/>
    </row>
    <row r="6" spans="1:18" ht="20.100000000000001" customHeight="1" x14ac:dyDescent="0.2">
      <c r="A6" s="28"/>
      <c r="B6" s="36"/>
      <c r="C6" s="151" t="s">
        <v>165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24"/>
      <c r="P6" s="20"/>
      <c r="Q6" s="82"/>
      <c r="R6" s="39"/>
    </row>
    <row r="7" spans="1:18" ht="20.100000000000001" customHeight="1" x14ac:dyDescent="0.2">
      <c r="A7" s="28"/>
      <c r="B7" s="36"/>
      <c r="C7" s="151" t="s">
        <v>174</v>
      </c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20"/>
      <c r="O7" s="25"/>
      <c r="P7" s="20"/>
      <c r="Q7" s="82"/>
      <c r="R7" s="39"/>
    </row>
    <row r="8" spans="1:18" ht="20.100000000000001" customHeight="1" x14ac:dyDescent="0.2">
      <c r="A8" s="28"/>
      <c r="B8" s="36"/>
      <c r="C8" s="151" t="s">
        <v>50</v>
      </c>
      <c r="D8" s="151"/>
      <c r="E8" s="151"/>
      <c r="F8" s="151"/>
      <c r="G8" s="151"/>
      <c r="H8" s="151"/>
      <c r="I8" s="151"/>
      <c r="J8" s="151"/>
      <c r="K8" s="151"/>
      <c r="L8" s="152"/>
      <c r="M8" s="20"/>
      <c r="N8" s="20"/>
      <c r="O8" s="25"/>
      <c r="P8" s="20"/>
      <c r="Q8" s="82"/>
      <c r="R8" s="39"/>
    </row>
    <row r="9" spans="1:18" ht="20.100000000000001" customHeight="1" x14ac:dyDescent="0.2">
      <c r="A9" s="28"/>
      <c r="B9" s="36"/>
      <c r="C9" s="151" t="s">
        <v>71</v>
      </c>
      <c r="D9" s="151"/>
      <c r="E9" s="151"/>
      <c r="F9" s="151"/>
      <c r="G9" s="151"/>
      <c r="H9" s="151"/>
      <c r="I9" s="151"/>
      <c r="J9" s="151"/>
      <c r="K9" s="152"/>
      <c r="L9" s="20"/>
      <c r="M9" s="20"/>
      <c r="N9" s="20"/>
      <c r="O9" s="25"/>
      <c r="P9" s="20"/>
      <c r="Q9" s="82"/>
      <c r="R9" s="39"/>
    </row>
    <row r="10" spans="1:18" ht="20.100000000000001" customHeight="1" x14ac:dyDescent="0.2">
      <c r="A10" s="28"/>
      <c r="B10" s="36"/>
      <c r="C10" s="151" t="s">
        <v>73</v>
      </c>
      <c r="D10" s="151"/>
      <c r="E10" s="151"/>
      <c r="F10" s="151"/>
      <c r="G10" s="151"/>
      <c r="H10" s="151"/>
      <c r="I10" s="151"/>
      <c r="J10" s="152"/>
      <c r="K10" s="20"/>
      <c r="L10" s="20"/>
      <c r="M10" s="20"/>
      <c r="N10" s="20"/>
      <c r="O10" s="25"/>
      <c r="P10" s="20"/>
      <c r="Q10" s="82"/>
      <c r="R10" s="39"/>
    </row>
    <row r="11" spans="1:18" ht="20.100000000000001" customHeight="1" x14ac:dyDescent="0.2">
      <c r="A11" s="28"/>
      <c r="B11" s="36"/>
      <c r="C11" s="151" t="s">
        <v>74</v>
      </c>
      <c r="D11" s="151"/>
      <c r="E11" s="151"/>
      <c r="F11" s="151"/>
      <c r="G11" s="151"/>
      <c r="H11" s="152"/>
      <c r="I11" s="24"/>
      <c r="J11" s="19"/>
      <c r="K11" s="20"/>
      <c r="L11" s="20"/>
      <c r="M11" s="20"/>
      <c r="N11" s="20"/>
      <c r="O11" s="25"/>
      <c r="P11" s="20"/>
      <c r="Q11" s="82"/>
      <c r="R11" s="39"/>
    </row>
    <row r="12" spans="1:18" ht="20.100000000000001" customHeight="1" x14ac:dyDescent="0.2">
      <c r="A12" s="28"/>
      <c r="B12" s="36"/>
      <c r="C12" s="151" t="s">
        <v>72</v>
      </c>
      <c r="D12" s="151"/>
      <c r="E12" s="151"/>
      <c r="F12" s="151"/>
      <c r="G12" s="152"/>
      <c r="H12" s="19"/>
      <c r="I12" s="25"/>
      <c r="J12" s="19"/>
      <c r="K12" s="20"/>
      <c r="L12" s="20"/>
      <c r="M12" s="20"/>
      <c r="N12" s="20"/>
      <c r="O12" s="25"/>
      <c r="P12" s="20"/>
      <c r="Q12" s="82"/>
      <c r="R12" s="39"/>
    </row>
    <row r="13" spans="1:18" ht="20.100000000000001" customHeight="1" x14ac:dyDescent="0.2">
      <c r="A13" s="28"/>
      <c r="B13" s="36"/>
      <c r="C13" s="151" t="s">
        <v>51</v>
      </c>
      <c r="D13" s="151"/>
      <c r="E13" s="151"/>
      <c r="F13" s="152"/>
      <c r="G13" s="20"/>
      <c r="H13" s="20"/>
      <c r="I13" s="25"/>
      <c r="J13" s="19"/>
      <c r="K13" s="20"/>
      <c r="L13" s="20"/>
      <c r="M13" s="20"/>
      <c r="N13" s="20"/>
      <c r="O13" s="25"/>
      <c r="P13" s="20"/>
      <c r="Q13" s="82"/>
      <c r="R13" s="39"/>
    </row>
    <row r="14" spans="1:18" ht="20.100000000000001" customHeight="1" x14ac:dyDescent="0.2">
      <c r="B14" s="36"/>
      <c r="C14" s="130"/>
      <c r="D14" s="130"/>
      <c r="E14" s="131"/>
      <c r="F14" s="13"/>
      <c r="G14" s="13"/>
      <c r="H14" s="13"/>
      <c r="I14" s="26"/>
      <c r="J14" s="13"/>
      <c r="K14" s="15"/>
      <c r="L14" s="13"/>
      <c r="M14" s="14"/>
      <c r="N14" s="13"/>
      <c r="O14" s="27"/>
      <c r="P14" s="21"/>
      <c r="Q14" s="37"/>
      <c r="R14" s="39"/>
    </row>
    <row r="15" spans="1:18" ht="20.100000000000001" customHeight="1" thickBot="1" x14ac:dyDescent="0.25">
      <c r="B15" s="36"/>
      <c r="C15" s="132" t="s">
        <v>52</v>
      </c>
      <c r="D15" s="132"/>
      <c r="E15" s="133"/>
      <c r="F15" s="30">
        <v>1</v>
      </c>
      <c r="G15" s="30">
        <v>2</v>
      </c>
      <c r="H15" s="30">
        <v>3</v>
      </c>
      <c r="I15" s="30" t="s">
        <v>36</v>
      </c>
      <c r="J15" s="30">
        <v>4</v>
      </c>
      <c r="K15" s="30">
        <v>5</v>
      </c>
      <c r="L15" s="30">
        <v>6</v>
      </c>
      <c r="M15" s="30">
        <v>7</v>
      </c>
      <c r="N15" s="30">
        <v>8</v>
      </c>
      <c r="O15" s="30" t="s">
        <v>36</v>
      </c>
      <c r="P15" s="30">
        <v>9</v>
      </c>
      <c r="Q15" s="38">
        <v>10</v>
      </c>
      <c r="R15" s="39"/>
    </row>
    <row r="16" spans="1:18" ht="20.100000000000001" customHeight="1" thickBot="1" x14ac:dyDescent="0.25">
      <c r="B16" s="6"/>
      <c r="C16" s="134" t="s">
        <v>39</v>
      </c>
      <c r="D16" s="135"/>
      <c r="E16" s="136"/>
      <c r="F16" s="101" t="s">
        <v>40</v>
      </c>
      <c r="G16" s="31"/>
      <c r="H16" s="101">
        <v>12</v>
      </c>
      <c r="I16" s="102" t="s">
        <v>36</v>
      </c>
      <c r="J16" s="31"/>
      <c r="K16" s="31"/>
      <c r="L16" s="101">
        <v>170</v>
      </c>
      <c r="M16" s="31"/>
      <c r="N16" s="31"/>
      <c r="O16" s="101" t="s">
        <v>36</v>
      </c>
      <c r="P16" s="31"/>
      <c r="Q16" s="80"/>
      <c r="R16" s="34"/>
    </row>
    <row r="17" spans="2:18" ht="20.100000000000001" customHeight="1" x14ac:dyDescent="0.2">
      <c r="B17" s="6"/>
      <c r="C17" s="7"/>
      <c r="D17" s="7"/>
      <c r="E17" s="7"/>
      <c r="F17" s="7"/>
      <c r="G17" s="9" t="str">
        <f>IF(G16="F","ЕСТЬ",IF(G16="_","НЕТ","ЗАПОЛНИ"))</f>
        <v>ЗАПОЛНИ</v>
      </c>
      <c r="H17" s="29"/>
      <c r="I17" s="29"/>
      <c r="J17" s="9" t="str">
        <f>IF(J16=6,"630",IF(J16=4,"400","ЗАПОЛНИ"))</f>
        <v>ЗАПОЛНИ</v>
      </c>
      <c r="K17" s="9" t="str">
        <f>IF(G16=0,IF(K16="A","2-пружинный",IF(K16="K","1-пружинный","ЗАПОЛНИ")),IF(G16="_",IF(K16="A","2-пружинный",IF(K16="K","1-пружинный","ЗАПОЛНИ")),IF(K16="A","2-пружинный",IF(K16="K","1-пружинный","Рекомендуется тип А"))))</f>
        <v>ЗАПОЛНИ</v>
      </c>
      <c r="L17" s="29"/>
      <c r="M17" s="9" t="str">
        <f>IF(M16="R","правосторонний",IF(M16="L","левосторонний","ЗАПОЛНИ"))</f>
        <v>ЗАПОЛНИ</v>
      </c>
      <c r="N17" s="9" t="str">
        <f>IF(N16="E","ЕСТЬ",IF(N16="_","НЕТ","ЗАПОЛНИ"))</f>
        <v>ЗАПОЛНИ</v>
      </c>
      <c r="O17" s="29"/>
      <c r="P17" s="9" t="str">
        <f>IF(P16="HE","ручной",IF(P16="NM","электропривод с возможностью ручного управления","ЗАПОЛНИ"))</f>
        <v>ЗАПОЛНИ</v>
      </c>
      <c r="Q17" s="42" t="str">
        <f>IF(Q16="EB","ЕСТЬ",IF(Q16="_","НЕТ","ЗАПОЛНИ"))</f>
        <v>ЗАПОЛНИ</v>
      </c>
      <c r="R17" s="8"/>
    </row>
    <row r="18" spans="2:18" ht="20.100000000000001" customHeight="1" thickBot="1" x14ac:dyDescent="0.25">
      <c r="B18" s="10"/>
      <c r="C18" s="11"/>
      <c r="D18" s="11"/>
      <c r="E18" s="11"/>
      <c r="F18" s="11"/>
      <c r="G18" s="64"/>
      <c r="H18" s="64"/>
      <c r="I18" s="64"/>
      <c r="J18" s="64"/>
      <c r="K18" s="41" t="str">
        <f>IF(AND(G16="F",K16="K"),"рекомендуется тип А",IF(H44="см. блок 1 параметр 5","рекомендуется тип К, см. блок 3",""))</f>
        <v/>
      </c>
      <c r="L18" s="64"/>
      <c r="M18" s="41" t="str">
        <f>IF(M16="L","рекомендуется правосторонний","")</f>
        <v/>
      </c>
      <c r="N18" s="64"/>
      <c r="O18" s="64"/>
      <c r="P18" s="41"/>
      <c r="Q18" s="64"/>
      <c r="R18" s="12"/>
    </row>
    <row r="19" spans="2:18" ht="20.100000000000001" customHeight="1" thickTop="1" x14ac:dyDescent="0.2">
      <c r="G19" s="17"/>
      <c r="J19" s="17"/>
      <c r="K19" s="17"/>
      <c r="M19" s="17"/>
      <c r="N19" s="17"/>
      <c r="P19" s="17"/>
      <c r="Q19" s="17"/>
    </row>
    <row r="20" spans="2:18" ht="20.100000000000001" customHeight="1" thickBot="1" x14ac:dyDescent="0.25">
      <c r="G20" s="17"/>
      <c r="J20" s="17"/>
      <c r="K20" s="17"/>
      <c r="M20" s="17"/>
      <c r="N20" s="17"/>
      <c r="P20" s="17"/>
      <c r="Q20" s="17"/>
    </row>
    <row r="21" spans="2:18" ht="30" customHeight="1" thickTop="1" thickBot="1" x14ac:dyDescent="0.25">
      <c r="B21" s="184" t="s">
        <v>80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</row>
    <row r="22" spans="2:18" ht="20.100000000000001" customHeight="1" thickTop="1" thickBot="1" x14ac:dyDescent="0.25">
      <c r="B22" s="3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33"/>
    </row>
    <row r="23" spans="2:18" ht="20.100000000000001" customHeight="1" thickBot="1" x14ac:dyDescent="0.25">
      <c r="B23" s="35"/>
      <c r="C23" s="137" t="s">
        <v>182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39">
        <v>0</v>
      </c>
      <c r="Q23" s="140"/>
      <c r="R23" s="43" t="str">
        <f>IF(OR(P23="",ISNUMBER(P23)),"","ОШИБКА")</f>
        <v/>
      </c>
    </row>
    <row r="24" spans="2:18" ht="20.100000000000001" customHeight="1" thickBot="1" x14ac:dyDescent="0.2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41" t="str">
        <f>IF(P23&lt;=0,"ЗАПОЛНИ"," ")</f>
        <v>ЗАПОЛНИ</v>
      </c>
      <c r="Q24" s="141"/>
      <c r="R24" s="12"/>
    </row>
    <row r="25" spans="2:18" ht="20.100000000000001" customHeight="1" thickTop="1" x14ac:dyDescent="0.2">
      <c r="P25" s="18"/>
      <c r="Q25" s="18"/>
    </row>
    <row r="26" spans="2:18" ht="20.100000000000001" customHeight="1" thickBot="1" x14ac:dyDescent="0.25"/>
    <row r="27" spans="2:18" ht="30" customHeight="1" thickTop="1" thickBot="1" x14ac:dyDescent="0.25">
      <c r="B27" s="184" t="s">
        <v>81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</row>
    <row r="28" spans="2:18" ht="20.100000000000001" customHeight="1" thickTop="1" thickBot="1" x14ac:dyDescent="0.25">
      <c r="B28" s="187" t="s">
        <v>67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</row>
    <row r="29" spans="2:18" ht="20.100000000000001" customHeight="1" thickTop="1" thickBot="1" x14ac:dyDescent="0.25">
      <c r="B29" s="32"/>
      <c r="C29" s="7"/>
      <c r="D29" s="7"/>
      <c r="E29" s="7"/>
      <c r="F29" s="7"/>
      <c r="G29" s="7"/>
      <c r="H29" s="73"/>
      <c r="I29" s="7"/>
      <c r="J29" s="7"/>
      <c r="K29" s="7"/>
      <c r="L29" s="7"/>
      <c r="M29" s="7"/>
      <c r="N29" s="72"/>
      <c r="O29" s="7"/>
      <c r="P29" s="7"/>
      <c r="Q29" s="7"/>
      <c r="R29" s="75"/>
    </row>
    <row r="30" spans="2:18" ht="20.100000000000001" customHeight="1" thickTop="1" thickBot="1" x14ac:dyDescent="0.25">
      <c r="B30" s="6"/>
      <c r="C30" s="196" t="s">
        <v>177</v>
      </c>
      <c r="D30" s="197"/>
      <c r="E30" s="197"/>
      <c r="F30" s="198"/>
      <c r="G30" s="23"/>
      <c r="H30" s="72"/>
      <c r="I30" s="4"/>
      <c r="J30" s="4"/>
      <c r="K30" s="4"/>
      <c r="L30" s="4"/>
      <c r="M30" s="4"/>
      <c r="N30" s="72"/>
      <c r="O30" s="4"/>
      <c r="P30" s="4"/>
      <c r="Q30" s="7"/>
      <c r="R30" s="76"/>
    </row>
    <row r="31" spans="2:18" ht="20.100000000000001" customHeight="1" thickTop="1" thickBot="1" x14ac:dyDescent="0.25">
      <c r="B31" s="6"/>
      <c r="C31" s="7"/>
      <c r="D31" s="7"/>
      <c r="E31" s="7"/>
      <c r="F31" s="7"/>
      <c r="G31" s="63" t="str">
        <f>IF(G30=0,"ЗАПОЛНИ",)</f>
        <v>ЗАПОЛНИ</v>
      </c>
      <c r="H31" s="72"/>
      <c r="I31" s="7"/>
      <c r="J31" s="7"/>
      <c r="K31" s="7"/>
      <c r="L31" s="7"/>
      <c r="M31" s="63"/>
      <c r="N31" s="72"/>
      <c r="O31" s="4"/>
      <c r="P31" s="4"/>
      <c r="Q31" s="7"/>
      <c r="R31" s="76"/>
    </row>
    <row r="32" spans="2:18" ht="20.100000000000001" customHeight="1" thickTop="1" x14ac:dyDescent="0.2">
      <c r="B32" s="6"/>
      <c r="C32" s="118" t="s">
        <v>57</v>
      </c>
      <c r="D32" s="119"/>
      <c r="E32" s="119"/>
      <c r="F32" s="119"/>
      <c r="G32" s="120"/>
      <c r="H32" s="72"/>
      <c r="I32" s="118" t="s">
        <v>78</v>
      </c>
      <c r="J32" s="119"/>
      <c r="K32" s="119"/>
      <c r="L32" s="119"/>
      <c r="M32" s="120"/>
      <c r="N32" s="72" t="b">
        <f>AND(I34="ЗАПОЛНИ",M35=0)</f>
        <v>0</v>
      </c>
      <c r="O32" s="118" t="s">
        <v>68</v>
      </c>
      <c r="P32" s="119"/>
      <c r="Q32" s="120"/>
      <c r="R32" s="77" t="b">
        <f>AND(O34="ЗАПОЛНИ",Q35=0)</f>
        <v>0</v>
      </c>
    </row>
    <row r="33" spans="2:18" ht="20.100000000000001" customHeight="1" thickBot="1" x14ac:dyDescent="0.25">
      <c r="B33" s="6"/>
      <c r="C33" s="121"/>
      <c r="D33" s="122"/>
      <c r="E33" s="122"/>
      <c r="F33" s="122"/>
      <c r="G33" s="123"/>
      <c r="H33" s="72"/>
      <c r="I33" s="121"/>
      <c r="J33" s="122"/>
      <c r="K33" s="122"/>
      <c r="L33" s="122"/>
      <c r="M33" s="123"/>
      <c r="N33" s="72" t="b">
        <f>AND(I34="ЗАПОЛНИ",M36=0)</f>
        <v>0</v>
      </c>
      <c r="O33" s="121"/>
      <c r="P33" s="122"/>
      <c r="Q33" s="123"/>
      <c r="R33" s="77" t="b">
        <f>AND(O34="ЗАПОЛНИ",Q37=0)</f>
        <v>0</v>
      </c>
    </row>
    <row r="34" spans="2:18" ht="20.100000000000001" customHeight="1" thickTop="1" thickBot="1" x14ac:dyDescent="0.25">
      <c r="B34" s="6"/>
      <c r="C34" s="142" t="str">
        <f>IF(G16="F","ЗАПОЛНИ","НЕ ЗАПОЛНЯЕТСЯ")</f>
        <v>НЕ ЗАПОЛНЯЕТСЯ</v>
      </c>
      <c r="D34" s="143"/>
      <c r="E34" s="143"/>
      <c r="F34" s="143"/>
      <c r="G34" s="144"/>
      <c r="H34" s="81"/>
      <c r="I34" s="142" t="str">
        <f>IF(N16="E","ЗАПОЛНИ","НЕ ЗАПОЛНЯЕТСЯ")</f>
        <v>НЕ ЗАПОЛНЯЕТСЯ</v>
      </c>
      <c r="J34" s="143"/>
      <c r="K34" s="143"/>
      <c r="L34" s="143"/>
      <c r="M34" s="144"/>
      <c r="N34" s="72" t="b">
        <f>AND(I34="ЗАПОЛНИ",M38=0)</f>
        <v>0</v>
      </c>
      <c r="O34" s="142" t="str">
        <f>IF(P16="NM","ЗАПОЛНИ","НЕ ЗАПОЛНЯЕТСЯ")</f>
        <v>НЕ ЗАПОЛНЯЕТСЯ</v>
      </c>
      <c r="P34" s="143"/>
      <c r="Q34" s="144"/>
      <c r="R34" s="77"/>
    </row>
    <row r="35" spans="2:18" ht="20.100000000000001" customHeight="1" thickBot="1" x14ac:dyDescent="0.25">
      <c r="B35" s="6"/>
      <c r="C35" s="174" t="s">
        <v>70</v>
      </c>
      <c r="D35" s="175"/>
      <c r="E35" s="175"/>
      <c r="F35" s="175"/>
      <c r="G35" s="176"/>
      <c r="H35" s="81"/>
      <c r="I35" s="170" t="s">
        <v>86</v>
      </c>
      <c r="J35" s="171"/>
      <c r="K35" s="171"/>
      <c r="L35" s="172"/>
      <c r="M35" s="22"/>
      <c r="N35" s="81" t="str">
        <f>IF(I34="НЕ ЗАПОЛНЯЕТСЯ",IF(M35&lt;&gt;"","ОШИБКА"," ")," ")</f>
        <v xml:space="preserve"> </v>
      </c>
      <c r="O35" s="105" t="s">
        <v>173</v>
      </c>
      <c r="P35" s="193"/>
      <c r="Q35" s="223" t="str">
        <f>IF(AND($M$16="R",$P$16="NM"),"слева",IF(AND($M$16="L",$P$16="NM"),"справа",""))</f>
        <v/>
      </c>
      <c r="R35" s="129"/>
    </row>
    <row r="36" spans="2:18" ht="20.100000000000001" customHeight="1" thickBot="1" x14ac:dyDescent="0.25">
      <c r="B36" s="6" t="str">
        <f>IF($B$31&lt;&gt;"",IF(AND($B$35='-'!$A$16,'Опросный лист 2 (заполняется)'!$M$47="+"),'-'!$A$24,""),"")</f>
        <v/>
      </c>
      <c r="C36" s="158" t="s">
        <v>55</v>
      </c>
      <c r="D36" s="159"/>
      <c r="E36" s="160"/>
      <c r="F36" s="161" t="s">
        <v>53</v>
      </c>
      <c r="G36" s="103" t="s">
        <v>58</v>
      </c>
      <c r="H36" s="81"/>
      <c r="I36" s="145" t="s">
        <v>160</v>
      </c>
      <c r="J36" s="146"/>
      <c r="K36" s="146"/>
      <c r="L36" s="147"/>
      <c r="M36" s="109"/>
      <c r="N36" s="126" t="str">
        <f>IF(I34="НЕ ЗАПОЛНЯЕТСЯ",IF(M36&gt;0,"ОШИБКА"," "),IF(OR(AND(M36="24DC",OR(M45="220DC",M45="230AC",Q42="220DC",Q42="230AC")),AND(M36="220DC",OR(M45="24DC",M45="230AC",Q42="24DC",Q42="230AC")),AND(M36="230AC",OR(M45="220DC",M45="24DC",Q42="220DC",Q42="24DC"))),"ОШИБКА должно быть одинаковым"," "))</f>
        <v xml:space="preserve"> </v>
      </c>
      <c r="O36" s="194"/>
      <c r="P36" s="195"/>
      <c r="Q36" s="224"/>
      <c r="R36" s="129"/>
    </row>
    <row r="37" spans="2:18" ht="20.100000000000001" customHeight="1" thickBot="1" x14ac:dyDescent="0.25">
      <c r="B37" s="6"/>
      <c r="C37" s="163" t="s">
        <v>56</v>
      </c>
      <c r="D37" s="164"/>
      <c r="E37" s="165"/>
      <c r="F37" s="162"/>
      <c r="G37" s="104" t="s">
        <v>36</v>
      </c>
      <c r="H37" s="81"/>
      <c r="I37" s="148"/>
      <c r="J37" s="149"/>
      <c r="K37" s="149"/>
      <c r="L37" s="150"/>
      <c r="M37" s="110"/>
      <c r="N37" s="126"/>
      <c r="O37" s="155" t="s">
        <v>82</v>
      </c>
      <c r="P37" s="156"/>
      <c r="Q37" s="109"/>
      <c r="R37" s="129" t="str">
        <f>IF(O34="НЕ ЗАПОЛНЯЕТСЯ",IF(Q37&gt;0,"ОШИБКА"," ")," ")</f>
        <v xml:space="preserve"> </v>
      </c>
    </row>
    <row r="38" spans="2:18" ht="20.100000000000001" customHeight="1" thickBot="1" x14ac:dyDescent="0.25">
      <c r="B38" s="6"/>
      <c r="C38" s="166" t="s">
        <v>162</v>
      </c>
      <c r="D38" s="167"/>
      <c r="E38" s="167"/>
      <c r="F38" s="168"/>
      <c r="G38" s="109"/>
      <c r="H38" s="169" t="str">
        <f>IF(C34="НЕ ЗАПОЛНЯЕТСЯ",IF(G38&gt;0,"ОШИБКА"," ")," ")</f>
        <v xml:space="preserve"> </v>
      </c>
      <c r="I38" s="145" t="s">
        <v>164</v>
      </c>
      <c r="J38" s="146"/>
      <c r="K38" s="146"/>
      <c r="L38" s="147"/>
      <c r="M38" s="109"/>
      <c r="N38" s="126" t="str">
        <f>IF(I34="НЕ ЗАПОЛНЯЕТСЯ",IF(M38&gt;0,"ОШИБКА"," "),IF(AND(M38="+",M16="R"),"монтируется слева от главных ножей",IF(AND(M38="+",M16="L"),"монтируется справа от главных ножей"," ")))</f>
        <v xml:space="preserve"> </v>
      </c>
      <c r="O38" s="155"/>
      <c r="P38" s="156"/>
      <c r="Q38" s="157"/>
      <c r="R38" s="129"/>
    </row>
    <row r="39" spans="2:18" ht="20.100000000000001" customHeight="1" thickBot="1" x14ac:dyDescent="0.25">
      <c r="B39" s="6"/>
      <c r="C39" s="148"/>
      <c r="D39" s="149"/>
      <c r="E39" s="149"/>
      <c r="F39" s="150"/>
      <c r="G39" s="110"/>
      <c r="H39" s="169"/>
      <c r="I39" s="148"/>
      <c r="J39" s="149"/>
      <c r="K39" s="149"/>
      <c r="L39" s="150"/>
      <c r="M39" s="110"/>
      <c r="N39" s="126"/>
      <c r="O39" s="134" t="str">
        <f>IF(OR(P16="NM",P16="HE"),"ЗАПОЛНИ","НЕ ЗАПОЛНЯЕТСЯ")</f>
        <v>НЕ ЗАПОЛНЯЕТСЯ</v>
      </c>
      <c r="P39" s="135"/>
      <c r="Q39" s="136"/>
      <c r="R39" s="77" t="b">
        <f>AND(O39="ЗАПОЛНИ",Q40=0)</f>
        <v>0</v>
      </c>
    </row>
    <row r="40" spans="2:18" ht="20.100000000000001" customHeight="1" thickBot="1" x14ac:dyDescent="0.25">
      <c r="B40" s="6"/>
      <c r="C40" s="40" t="str">
        <f>_xlfn.IFNA(VLOOKUP($B$40,'-'!$A:$B,2,0),"")</f>
        <v/>
      </c>
      <c r="D40" s="9"/>
      <c r="E40" s="9"/>
      <c r="F40" s="7"/>
      <c r="G40" s="7"/>
      <c r="H40" s="81"/>
      <c r="I40" s="7"/>
      <c r="J40" s="7"/>
      <c r="K40" s="7"/>
      <c r="L40" s="7"/>
      <c r="M40" s="5"/>
      <c r="N40" s="72"/>
      <c r="O40" s="127" t="s">
        <v>87</v>
      </c>
      <c r="P40" s="128"/>
      <c r="Q40" s="227"/>
      <c r="R40" s="79" t="str">
        <f>IF(O39="НЕ ЗАПОЛНЯЕТСЯ",IF(Q40&lt;&gt;"","ОШИБКА"," ")," ")</f>
        <v xml:space="preserve"> </v>
      </c>
    </row>
    <row r="41" spans="2:18" ht="20.100000000000001" customHeight="1" thickTop="1" thickBot="1" x14ac:dyDescent="0.25">
      <c r="B41" s="6"/>
      <c r="C41" s="118" t="s">
        <v>62</v>
      </c>
      <c r="D41" s="119"/>
      <c r="E41" s="119"/>
      <c r="F41" s="119"/>
      <c r="G41" s="120"/>
      <c r="H41" s="72" t="b">
        <f>AND(C43="ЗАПОЛНИ",G44=0)</f>
        <v>0</v>
      </c>
      <c r="I41" s="118" t="s">
        <v>85</v>
      </c>
      <c r="J41" s="119"/>
      <c r="K41" s="119"/>
      <c r="L41" s="119"/>
      <c r="M41" s="120"/>
      <c r="N41" s="72" t="b">
        <f>AND(I43="ЗАПОЛНИ",M44=0)</f>
        <v>0</v>
      </c>
      <c r="O41" s="134" t="str">
        <f>IF(P16="HE","ЗАПОЛНИ","НЕ ЗАПОЛНЯЕТСЯ")</f>
        <v>НЕ ЗАПОЛНЯЕТСЯ</v>
      </c>
      <c r="P41" s="135"/>
      <c r="Q41" s="136"/>
      <c r="R41" s="77" t="b">
        <f>AND(O41="ЗАПОЛНИ",Q42=0)</f>
        <v>0</v>
      </c>
    </row>
    <row r="42" spans="2:18" ht="20.100000000000001" customHeight="1" thickBot="1" x14ac:dyDescent="0.25">
      <c r="B42" s="6"/>
      <c r="C42" s="121"/>
      <c r="D42" s="122"/>
      <c r="E42" s="122"/>
      <c r="F42" s="122"/>
      <c r="G42" s="123"/>
      <c r="H42" s="72" t="b">
        <f>AND(C43="ЗАПОЛНИ",G46=0)</f>
        <v>0</v>
      </c>
      <c r="I42" s="121"/>
      <c r="J42" s="122"/>
      <c r="K42" s="122"/>
      <c r="L42" s="122"/>
      <c r="M42" s="123"/>
      <c r="N42" s="72" t="b">
        <f>AND(I43="ЗАПОЛНИ",M45=0)</f>
        <v>0</v>
      </c>
      <c r="O42" s="105" t="s">
        <v>160</v>
      </c>
      <c r="P42" s="106"/>
      <c r="Q42" s="109"/>
      <c r="R42" s="111" t="str">
        <f>IF(O41="НЕ ЗАПОЛНЯЕТСЯ",IF(Q42&gt;0,"ОШИБКА"," "),IF(OR(AND(Q42="24DC",OR(M36="220DC",M36="230AC",M45="220DC",M45="230AC")),AND(Q42="220DC",OR(M36="24DC",M36="230AC",M45="24DC",M45="230AC")),AND(Q42="230AC",OR(M36="220DC",M36="24DC",M45="220DC",M45="24DC"))),"ОШИБКА должно быть одинаковым"," "))</f>
        <v xml:space="preserve"> </v>
      </c>
    </row>
    <row r="43" spans="2:18" ht="20.100000000000001" customHeight="1" thickTop="1" thickBot="1" x14ac:dyDescent="0.25">
      <c r="B43" s="6"/>
      <c r="C43" s="142" t="str">
        <f>IF(AND(G16="F",K16="A"),"ЗАПОЛНИ","НЕ ЗАПОЛНЯЕТСЯ")</f>
        <v>НЕ ЗАПОЛНЯЕТСЯ</v>
      </c>
      <c r="D43" s="143"/>
      <c r="E43" s="143"/>
      <c r="F43" s="143"/>
      <c r="G43" s="144"/>
      <c r="H43" s="81" t="str">
        <f>IF(C43="ЗАПОЛНИ",IF(AND(OR(G44=0,G44="-"),G46="+"),"ОШИБКА"," ")," ")</f>
        <v xml:space="preserve"> </v>
      </c>
      <c r="I43" s="142" t="str">
        <f>IF(Q16="EB","ЗАПОЛНИ","НЕ ЗАПОЛНЯЕТСЯ")</f>
        <v>НЕ ЗАПОЛНЯЕТСЯ</v>
      </c>
      <c r="J43" s="143"/>
      <c r="K43" s="143"/>
      <c r="L43" s="143"/>
      <c r="M43" s="144"/>
      <c r="N43" s="72" t="b">
        <f>AND(I43="ЗАПОЛНИ",M47=0)</f>
        <v>0</v>
      </c>
      <c r="O43" s="107"/>
      <c r="P43" s="108"/>
      <c r="Q43" s="110"/>
      <c r="R43" s="111"/>
    </row>
    <row r="44" spans="2:18" ht="20.100000000000001" customHeight="1" thickBot="1" x14ac:dyDescent="0.25">
      <c r="B44" s="6"/>
      <c r="C44" s="178" t="s">
        <v>167</v>
      </c>
      <c r="D44" s="179"/>
      <c r="E44" s="179"/>
      <c r="F44" s="179"/>
      <c r="G44" s="183"/>
      <c r="H44" s="126" t="str">
        <f>IF(C43="НЕ ЗАПОЛНЯЕТСЯ",IF(G44&gt;0,"ОШИБКА"," "),IF(AND(G44="-",K16="A"),"см. блок 1 параметр 5"," "))</f>
        <v xml:space="preserve"> </v>
      </c>
      <c r="I44" s="170" t="s">
        <v>86</v>
      </c>
      <c r="J44" s="171"/>
      <c r="K44" s="171"/>
      <c r="L44" s="172"/>
      <c r="M44" s="22"/>
      <c r="N44" s="81" t="str">
        <f>IF(I43="НЕ ЗАПОЛНЯЕТСЯ",IF(M44&lt;&gt;"","ОШИБКА"," ")," ")</f>
        <v xml:space="preserve"> </v>
      </c>
      <c r="O44" s="4"/>
      <c r="P44" s="4"/>
      <c r="Q44" s="7"/>
      <c r="R44" s="76"/>
    </row>
    <row r="45" spans="2:18" ht="20.100000000000001" customHeight="1" thickBot="1" x14ac:dyDescent="0.25">
      <c r="B45" s="6"/>
      <c r="C45" s="180"/>
      <c r="D45" s="181"/>
      <c r="E45" s="181"/>
      <c r="F45" s="181"/>
      <c r="G45" s="173"/>
      <c r="H45" s="126"/>
      <c r="I45" s="166" t="s">
        <v>160</v>
      </c>
      <c r="J45" s="167"/>
      <c r="K45" s="167"/>
      <c r="L45" s="168"/>
      <c r="M45" s="109"/>
      <c r="N45" s="126" t="str">
        <f>IF(I43="НЕ ЗАПОЛНЯЕТСЯ",IF(M45&gt;0,"ОШИБКА"," "),IF(OR(AND(M45="24DC",OR(M36="220DC",M36="230AC",Q42="220DC",Q42="230AC")),AND(M45="220DC",OR(M36="24DC",M36="230AC",Q42="24DC",Q42="230AC")),AND(M45="230AC",OR(M36="220DC",M36="24DC",Q42="220DC",Q42="24DC"))),"ОШИБКА должно быть одинаковым"," "))</f>
        <v xml:space="preserve"> </v>
      </c>
      <c r="O45" s="4"/>
      <c r="P45" s="4"/>
      <c r="Q45" s="7"/>
      <c r="R45" s="76"/>
    </row>
    <row r="46" spans="2:18" ht="20.100000000000001" customHeight="1" thickBot="1" x14ac:dyDescent="0.25">
      <c r="B46" s="6"/>
      <c r="C46" s="180" t="s">
        <v>168</v>
      </c>
      <c r="D46" s="181"/>
      <c r="E46" s="181"/>
      <c r="F46" s="181"/>
      <c r="G46" s="173"/>
      <c r="H46" s="182" t="str">
        <f>IF(C43="НЕ ЗАПОЛНЯЕТСЯ",IF(G46&gt;0,"ОШИБКА"," ")," ")</f>
        <v xml:space="preserve"> </v>
      </c>
      <c r="I46" s="148"/>
      <c r="J46" s="149"/>
      <c r="K46" s="149"/>
      <c r="L46" s="150"/>
      <c r="M46" s="110"/>
      <c r="N46" s="126"/>
      <c r="O46" s="225" t="str">
        <f>IF(AND(I43="ЗАПОЛНИ",N47="ОШИБКА",AND(M47="+",M16="L")),"    Установка механической блокировки на верхний заземлитель (EB) невозможна, при компоновке с двумя заземлителями (E+EB)."&amp;" Когда нижний заземлитель (E) оборудован механичекой блокировкой, ручные привода главных ножей и заземлителей размещаются слева, а главные ножи оснащены моторным приводом."&amp;"
    Рекомендуется изменить расположение ручных приводов на правостороннее (см. блок 1 параметр 7)."&amp;"
    В противном случае, используйте электромагнитную блокировку ручного привода верхнего заземлителя (EB) и навесной замок на ручной привод главных ножей"," ")</f>
        <v xml:space="preserve"> </v>
      </c>
      <c r="P46" s="225"/>
      <c r="Q46" s="225"/>
      <c r="R46" s="226"/>
    </row>
    <row r="47" spans="2:18" ht="20.100000000000001" customHeight="1" thickBot="1" x14ac:dyDescent="0.25">
      <c r="B47" s="6"/>
      <c r="C47" s="180"/>
      <c r="D47" s="181"/>
      <c r="E47" s="181"/>
      <c r="F47" s="181"/>
      <c r="G47" s="173"/>
      <c r="H47" s="182"/>
      <c r="I47" s="145" t="s">
        <v>164</v>
      </c>
      <c r="J47" s="146"/>
      <c r="K47" s="146"/>
      <c r="L47" s="147"/>
      <c r="M47" s="109"/>
      <c r="N47" s="126" t="str">
        <f>IF(I43="НЕ ЗАПОЛНЯЕТСЯ",IF(M47&gt;0,"ОШИБКА"," "),IF(AND(M16="R",M47="+"),"монтируется слева от главных ножей",IF(AND(M16="L",N16="E",P16="NM",M47="+",M38="+"),"ОШИБКА",IF(AND(M16="L",M47="+",OR(P16="HE",N16="_",AND(N16="E",M38="-"))),"монтируется справа от главных ножей"," "))))</f>
        <v xml:space="preserve"> </v>
      </c>
      <c r="O47" s="225"/>
      <c r="P47" s="225"/>
      <c r="Q47" s="225"/>
      <c r="R47" s="226"/>
    </row>
    <row r="48" spans="2:18" ht="20.100000000000001" customHeight="1" thickBot="1" x14ac:dyDescent="0.25">
      <c r="B48" s="6"/>
      <c r="C48" s="40"/>
      <c r="D48" s="9"/>
      <c r="E48" s="9"/>
      <c r="F48" s="7"/>
      <c r="G48" s="7"/>
      <c r="H48" s="81"/>
      <c r="I48" s="148"/>
      <c r="J48" s="149"/>
      <c r="K48" s="149"/>
      <c r="L48" s="150"/>
      <c r="M48" s="110"/>
      <c r="N48" s="126"/>
      <c r="O48" s="225"/>
      <c r="P48" s="225"/>
      <c r="Q48" s="225"/>
      <c r="R48" s="226"/>
    </row>
    <row r="49" spans="2:18" ht="20.100000000000001" customHeight="1" thickTop="1" x14ac:dyDescent="0.2">
      <c r="B49" s="6"/>
      <c r="C49" s="118" t="s">
        <v>63</v>
      </c>
      <c r="D49" s="119"/>
      <c r="E49" s="119"/>
      <c r="F49" s="119"/>
      <c r="G49" s="120"/>
      <c r="H49" s="72"/>
      <c r="I49" s="4"/>
      <c r="J49" s="4"/>
      <c r="K49" s="4"/>
      <c r="L49" s="4"/>
      <c r="M49" s="4"/>
      <c r="N49" s="72"/>
      <c r="O49" s="225"/>
      <c r="P49" s="225"/>
      <c r="Q49" s="225"/>
      <c r="R49" s="226"/>
    </row>
    <row r="50" spans="2:18" ht="20.100000000000001" customHeight="1" thickBot="1" x14ac:dyDescent="0.25">
      <c r="B50" s="6"/>
      <c r="C50" s="121"/>
      <c r="D50" s="122"/>
      <c r="E50" s="122"/>
      <c r="F50" s="122"/>
      <c r="G50" s="123"/>
      <c r="H50" s="72"/>
      <c r="I50" s="4"/>
      <c r="J50" s="4"/>
      <c r="K50" s="4"/>
      <c r="L50" s="4"/>
      <c r="M50" s="4"/>
      <c r="N50" s="4"/>
      <c r="O50" s="4"/>
      <c r="P50" s="4"/>
      <c r="Q50" s="7"/>
      <c r="R50" s="76"/>
    </row>
    <row r="51" spans="2:18" ht="20.100000000000001" customHeight="1" thickTop="1" thickBot="1" x14ac:dyDescent="0.25">
      <c r="B51" s="6"/>
      <c r="C51" s="142" t="str">
        <f>IF(K16="A","ЗАПОЛНИ","НЕ ЗАПОЛНЯЕТСЯ")</f>
        <v>НЕ ЗАПОЛНЯЕТСЯ</v>
      </c>
      <c r="D51" s="143"/>
      <c r="E51" s="143"/>
      <c r="F51" s="143"/>
      <c r="G51" s="144"/>
      <c r="H51" s="81"/>
      <c r="I51" s="4"/>
      <c r="J51" s="4"/>
      <c r="K51" s="4"/>
      <c r="L51" s="4"/>
      <c r="M51" s="4"/>
      <c r="N51" s="4"/>
      <c r="O51" s="4"/>
      <c r="P51" s="4"/>
      <c r="Q51" s="7"/>
      <c r="R51" s="76"/>
    </row>
    <row r="52" spans="2:18" ht="20.100000000000001" customHeight="1" thickTop="1" thickBot="1" x14ac:dyDescent="0.25">
      <c r="B52" s="6"/>
      <c r="C52" s="145" t="s">
        <v>169</v>
      </c>
      <c r="D52" s="146"/>
      <c r="E52" s="146"/>
      <c r="F52" s="147"/>
      <c r="G52" s="177"/>
      <c r="H52" s="169" t="str">
        <f>IF(C51="НЕ ЗАПОЛНЯЕТСЯ",IF(G52&gt;0,"ОШИБКА"," ")," ")</f>
        <v xml:space="preserve"> </v>
      </c>
      <c r="I52" s="4"/>
      <c r="J52" s="4"/>
      <c r="K52" s="4"/>
      <c r="L52" s="4"/>
      <c r="M52" s="4"/>
      <c r="N52" s="4"/>
      <c r="O52" s="124" t="s">
        <v>176</v>
      </c>
      <c r="P52" s="125"/>
      <c r="Q52" s="23"/>
      <c r="R52" s="76"/>
    </row>
    <row r="53" spans="2:18" ht="20.100000000000001" customHeight="1" thickTop="1" thickBot="1" x14ac:dyDescent="0.25">
      <c r="B53" s="6"/>
      <c r="C53" s="148"/>
      <c r="D53" s="149"/>
      <c r="E53" s="149"/>
      <c r="F53" s="150"/>
      <c r="G53" s="110"/>
      <c r="H53" s="169"/>
      <c r="I53" s="4"/>
      <c r="J53" s="4"/>
      <c r="K53" s="4"/>
      <c r="L53" s="4"/>
      <c r="M53" s="4"/>
      <c r="N53" s="4"/>
      <c r="O53" s="86" t="str">
        <f>"( в обязательный комплект поставки входит 1 рычаг )"</f>
        <v>( в обязательный комплект поставки входит 1 рычаг )</v>
      </c>
      <c r="P53" s="7"/>
      <c r="Q53" s="63" t="str">
        <f>IF(Q52="","ЗАПОЛНИ","")</f>
        <v>ЗАПОЛНИ</v>
      </c>
      <c r="R53" s="76"/>
    </row>
    <row r="54" spans="2:18" ht="20.100000000000001" customHeight="1" thickBot="1" x14ac:dyDescent="0.25">
      <c r="B54" s="10"/>
      <c r="C54" s="11"/>
      <c r="D54" s="11"/>
      <c r="E54" s="11"/>
      <c r="F54" s="11"/>
      <c r="G54" s="11"/>
      <c r="H54" s="74"/>
      <c r="I54" s="11"/>
      <c r="J54" s="11"/>
      <c r="K54" s="11"/>
      <c r="L54" s="11"/>
      <c r="M54" s="11"/>
      <c r="N54" s="11"/>
      <c r="O54" s="11"/>
      <c r="P54" s="11"/>
      <c r="Q54" s="11"/>
      <c r="R54" s="78" t="str">
        <f>IF(OR(H34="ОШИБКА",H35="ОШИБКА",H36="ОШИБКА",H37="ОШИБКА",H38="ОШИБКА",H43="ОШИБКА",H44="ОШИБКА",H46="ОШИБКА",H52="ОШИБКА",N35="ОШИБКА",N36="ОШИБКА",N38="ОШИБКА",N44="ОШИБКА",N45="ОШИБКА",N47="ОШИБКА",R35="ОШИБКА"),"ОШИБКА","")</f>
        <v/>
      </c>
    </row>
    <row r="55" spans="2:18" ht="20.100000000000001" customHeight="1" thickTop="1" x14ac:dyDescent="0.2"/>
    <row r="56" spans="2:18" ht="20.100000000000001" customHeight="1" x14ac:dyDescent="0.2"/>
    <row r="57" spans="2:18" ht="20.100000000000001" customHeight="1" x14ac:dyDescent="0.2"/>
    <row r="58" spans="2:18" ht="20.100000000000001" customHeight="1" thickBot="1" x14ac:dyDescent="0.25"/>
    <row r="59" spans="2:18" ht="20.100000000000001" customHeight="1" thickTop="1" x14ac:dyDescent="0.2">
      <c r="B59" s="112" t="s">
        <v>178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4"/>
    </row>
    <row r="60" spans="2:18" ht="20.100000000000001" customHeight="1" thickBot="1" x14ac:dyDescent="0.25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</row>
    <row r="61" spans="2:18" ht="20.100000000000001" customHeight="1" thickTop="1" x14ac:dyDescent="0.2"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9"/>
    </row>
    <row r="62" spans="2:18" ht="20.100000000000001" customHeight="1" x14ac:dyDescent="0.2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9"/>
    </row>
    <row r="63" spans="2:18" ht="20.100000000000001" customHeight="1" x14ac:dyDescent="0.2"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</row>
    <row r="64" spans="2:18" x14ac:dyDescent="0.2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9"/>
    </row>
    <row r="65" spans="2:18" x14ac:dyDescent="0.2"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9"/>
    </row>
    <row r="66" spans="2:18" x14ac:dyDescent="0.2"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9"/>
    </row>
    <row r="67" spans="2:18" x14ac:dyDescent="0.2"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</row>
    <row r="68" spans="2:18" x14ac:dyDescent="0.2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</row>
    <row r="69" spans="2:18" x14ac:dyDescent="0.2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</row>
    <row r="70" spans="2:18" ht="18.75" thickBot="1" x14ac:dyDescent="0.25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2"/>
    </row>
    <row r="71" spans="2:18" ht="18.75" thickTop="1" x14ac:dyDescent="0.2"/>
  </sheetData>
  <sheetProtection algorithmName="SHA-512" hashValue="Zdzz/GXun2aTSC9ZrHQWamqxa6bDNEH6tMu3cEonagnzw3oMO4yTILqwnqlH1mG6NP0TADU4uGaPeBBucacIdA==" saltValue="LGr4XeTpBSPKKohhbZMM9Q==" spinCount="100000" sheet="1" formatCells="0" formatColumns="0" formatRows="0" insertColumns="0" insertRows="0" insertHyperlinks="0" deleteColumns="0" deleteRows="0" sort="0" autoFilter="0" pivotTables="0"/>
  <dataConsolidate/>
  <mergeCells count="80">
    <mergeCell ref="O46:R49"/>
    <mergeCell ref="B2:R2"/>
    <mergeCell ref="B21:R21"/>
    <mergeCell ref="B27:R27"/>
    <mergeCell ref="B28:R28"/>
    <mergeCell ref="R35:R36"/>
    <mergeCell ref="C3:Q3"/>
    <mergeCell ref="C22:Q22"/>
    <mergeCell ref="I35:L35"/>
    <mergeCell ref="O35:P36"/>
    <mergeCell ref="Q35:Q36"/>
    <mergeCell ref="O32:Q33"/>
    <mergeCell ref="C30:F30"/>
    <mergeCell ref="C32:G33"/>
    <mergeCell ref="I32:M33"/>
    <mergeCell ref="C34:G34"/>
    <mergeCell ref="C9:K9"/>
    <mergeCell ref="C35:G35"/>
    <mergeCell ref="I47:L48"/>
    <mergeCell ref="C52:F53"/>
    <mergeCell ref="G52:G53"/>
    <mergeCell ref="H52:H53"/>
    <mergeCell ref="C44:F45"/>
    <mergeCell ref="C46:F47"/>
    <mergeCell ref="H44:H45"/>
    <mergeCell ref="H46:H47"/>
    <mergeCell ref="G44:G45"/>
    <mergeCell ref="C49:G50"/>
    <mergeCell ref="C51:G51"/>
    <mergeCell ref="N38:N39"/>
    <mergeCell ref="O37:P38"/>
    <mergeCell ref="Q37:Q38"/>
    <mergeCell ref="C36:E36"/>
    <mergeCell ref="F36:F37"/>
    <mergeCell ref="C37:E37"/>
    <mergeCell ref="N36:N37"/>
    <mergeCell ref="O39:Q39"/>
    <mergeCell ref="C38:F39"/>
    <mergeCell ref="G38:G39"/>
    <mergeCell ref="H38:H39"/>
    <mergeCell ref="M38:M39"/>
    <mergeCell ref="C10:J10"/>
    <mergeCell ref="C11:H11"/>
    <mergeCell ref="C12:G12"/>
    <mergeCell ref="C13:F13"/>
    <mergeCell ref="C4:Q4"/>
    <mergeCell ref="C5:P5"/>
    <mergeCell ref="C6:N6"/>
    <mergeCell ref="C7:M7"/>
    <mergeCell ref="C8:L8"/>
    <mergeCell ref="O40:P40"/>
    <mergeCell ref="R37:R38"/>
    <mergeCell ref="N47:N48"/>
    <mergeCell ref="C14:E14"/>
    <mergeCell ref="C15:E15"/>
    <mergeCell ref="C16:E16"/>
    <mergeCell ref="C23:O23"/>
    <mergeCell ref="P23:Q23"/>
    <mergeCell ref="P24:Q24"/>
    <mergeCell ref="I34:M34"/>
    <mergeCell ref="C41:G42"/>
    <mergeCell ref="I36:L37"/>
    <mergeCell ref="M36:M37"/>
    <mergeCell ref="O34:Q34"/>
    <mergeCell ref="I38:L39"/>
    <mergeCell ref="O41:Q41"/>
    <mergeCell ref="O42:P43"/>
    <mergeCell ref="Q42:Q43"/>
    <mergeCell ref="R42:R43"/>
    <mergeCell ref="B59:R60"/>
    <mergeCell ref="I41:M42"/>
    <mergeCell ref="O52:P52"/>
    <mergeCell ref="N45:N46"/>
    <mergeCell ref="M47:M48"/>
    <mergeCell ref="I43:M43"/>
    <mergeCell ref="I44:L44"/>
    <mergeCell ref="M45:M46"/>
    <mergeCell ref="I45:L46"/>
    <mergeCell ref="C43:G43"/>
    <mergeCell ref="G46:G47"/>
  </mergeCells>
  <conditionalFormatting sqref="P23">
    <cfRule type="cellIs" dxfId="361" priority="176" operator="greaterThan">
      <formula>0</formula>
    </cfRule>
  </conditionalFormatting>
  <conditionalFormatting sqref="G16">
    <cfRule type="expression" dxfId="360" priority="152">
      <formula>$G$16=""</formula>
    </cfRule>
    <cfRule type="cellIs" dxfId="359" priority="175" operator="notEqual">
      <formula>""</formula>
    </cfRule>
  </conditionalFormatting>
  <conditionalFormatting sqref="K16">
    <cfRule type="expression" dxfId="358" priority="150">
      <formula>$K$16=""</formula>
    </cfRule>
    <cfRule type="expression" dxfId="357" priority="169" stopIfTrue="1">
      <formula>OR($K$18="рекомендуется тип А",$K$18="рекомендуется тип К")</formula>
    </cfRule>
    <cfRule type="cellIs" dxfId="356" priority="174" operator="notEqual">
      <formula>""</formula>
    </cfRule>
  </conditionalFormatting>
  <conditionalFormatting sqref="M16">
    <cfRule type="expression" dxfId="355" priority="68">
      <formula>$M$16=""</formula>
    </cfRule>
    <cfRule type="expression" dxfId="354" priority="149" stopIfTrue="1">
      <formula>$M$18="рекомендуется правосторонний"</formula>
    </cfRule>
    <cfRule type="cellIs" dxfId="353" priority="173" operator="notEqual">
      <formula>""</formula>
    </cfRule>
  </conditionalFormatting>
  <conditionalFormatting sqref="N16">
    <cfRule type="expression" dxfId="352" priority="148">
      <formula>$N$16=""</formula>
    </cfRule>
    <cfRule type="cellIs" dxfId="351" priority="172" operator="notEqual">
      <formula>""</formula>
    </cfRule>
  </conditionalFormatting>
  <conditionalFormatting sqref="P16">
    <cfRule type="expression" dxfId="350" priority="147">
      <formula>$P$16=""</formula>
    </cfRule>
    <cfRule type="cellIs" dxfId="349" priority="171" operator="notEqual">
      <formula>""</formula>
    </cfRule>
  </conditionalFormatting>
  <conditionalFormatting sqref="J16">
    <cfRule type="expression" dxfId="348" priority="151">
      <formula>$J$16=""</formula>
    </cfRule>
    <cfRule type="cellIs" dxfId="347" priority="170" operator="notEqual">
      <formula>""</formula>
    </cfRule>
  </conditionalFormatting>
  <conditionalFormatting sqref="Q16">
    <cfRule type="expression" dxfId="346" priority="146">
      <formula>$Q$16=""</formula>
    </cfRule>
    <cfRule type="cellIs" dxfId="345" priority="168" operator="notEqual">
      <formula>""</formula>
    </cfRule>
  </conditionalFormatting>
  <conditionalFormatting sqref="C35">
    <cfRule type="expression" dxfId="344" priority="167">
      <formula>$H$35="ОШИБКА"</formula>
    </cfRule>
  </conditionalFormatting>
  <conditionalFormatting sqref="G44">
    <cfRule type="expression" dxfId="343" priority="72">
      <formula>$H$41=TRUE</formula>
    </cfRule>
    <cfRule type="expression" dxfId="342" priority="164" stopIfTrue="1">
      <formula>$H$44="ОШИБКА"</formula>
    </cfRule>
    <cfRule type="cellIs" dxfId="341" priority="165" stopIfTrue="1" operator="equal">
      <formula>"-"</formula>
    </cfRule>
    <cfRule type="cellIs" dxfId="340" priority="166" operator="notEqual">
      <formula>""</formula>
    </cfRule>
  </conditionalFormatting>
  <conditionalFormatting sqref="G46">
    <cfRule type="expression" dxfId="339" priority="160">
      <formula>$H$42=TRUE</formula>
    </cfRule>
    <cfRule type="expression" dxfId="338" priority="161" stopIfTrue="1">
      <formula>OR($H$46="ОШИБКА",AND(OR($G$44=0,$G$44="-"),$G$46="+"))</formula>
    </cfRule>
    <cfRule type="cellIs" dxfId="337" priority="162" operator="notEqual">
      <formula>""</formula>
    </cfRule>
  </conditionalFormatting>
  <conditionalFormatting sqref="P23:Q23">
    <cfRule type="expression" dxfId="336" priority="88" stopIfTrue="1">
      <formula>$R$23="ОШИБКА"</formula>
    </cfRule>
    <cfRule type="expression" dxfId="335" priority="153">
      <formula>$P$23=0</formula>
    </cfRule>
  </conditionalFormatting>
  <conditionalFormatting sqref="C43">
    <cfRule type="expression" dxfId="334" priority="135" stopIfTrue="1">
      <formula>OR($C$43="НЕ ЗАПОЛНЯЕТСЯ",$H$43="ОШИБКА")</formula>
    </cfRule>
    <cfRule type="expression" dxfId="333" priority="136">
      <formula>AND($C$43="ЗАПОЛНИ",OR($G$44="",$G$46=""))</formula>
    </cfRule>
    <cfRule type="expression" dxfId="332" priority="181">
      <formula>AND($C$43="ЗАПОЛНИ",$G$44&lt;&gt;"",$G$46&lt;&gt;"")</formula>
    </cfRule>
  </conditionalFormatting>
  <conditionalFormatting sqref="G38">
    <cfRule type="expression" dxfId="331" priority="143" stopIfTrue="1">
      <formula>$H$38="ОШИБКА"</formula>
    </cfRule>
    <cfRule type="cellIs" dxfId="330" priority="144" stopIfTrue="1" operator="notEqual">
      <formula>""</formula>
    </cfRule>
    <cfRule type="expression" dxfId="329" priority="145">
      <formula>$C$34="ЗАПОЛНИ"</formula>
    </cfRule>
  </conditionalFormatting>
  <conditionalFormatting sqref="G30">
    <cfRule type="expression" dxfId="328" priority="140">
      <formula>$G$30=""</formula>
    </cfRule>
    <cfRule type="cellIs" dxfId="327" priority="141" operator="notEqual">
      <formula>""</formula>
    </cfRule>
  </conditionalFormatting>
  <conditionalFormatting sqref="G31">
    <cfRule type="expression" dxfId="326" priority="139">
      <formula>$G$31=0</formula>
    </cfRule>
  </conditionalFormatting>
  <conditionalFormatting sqref="M35">
    <cfRule type="expression" dxfId="325" priority="126" stopIfTrue="1">
      <formula>$N$35="ОШИБКА"</formula>
    </cfRule>
    <cfRule type="cellIs" dxfId="324" priority="127" operator="notEqual">
      <formula>""</formula>
    </cfRule>
    <cfRule type="expression" dxfId="323" priority="128">
      <formula>$N$32=TRUE</formula>
    </cfRule>
  </conditionalFormatting>
  <conditionalFormatting sqref="M31">
    <cfRule type="expression" dxfId="322" priority="123">
      <formula>$M$31=0</formula>
    </cfRule>
  </conditionalFormatting>
  <conditionalFormatting sqref="O34">
    <cfRule type="expression" dxfId="321" priority="120" stopIfTrue="1">
      <formula>OR($O$34="НЕ ЗАПОЛНЯЕТСЯ",$R$37="ОШИБКА")</formula>
    </cfRule>
    <cfRule type="expression" dxfId="320" priority="121">
      <formula>AND($O$34="ЗАПОЛНИ",$Q$37="")</formula>
    </cfRule>
    <cfRule type="expression" dxfId="319" priority="122">
      <formula>AND($O$34="ЗАПОЛНИ",$Q$37&lt;&gt;"")</formula>
    </cfRule>
  </conditionalFormatting>
  <conditionalFormatting sqref="G52">
    <cfRule type="expression" dxfId="318" priority="108" stopIfTrue="1">
      <formula>$H$52="ОШИБКА"</formula>
    </cfRule>
    <cfRule type="cellIs" dxfId="317" priority="109" stopIfTrue="1" operator="notEqual">
      <formula>""</formula>
    </cfRule>
    <cfRule type="expression" dxfId="316" priority="110">
      <formula>$C$51="ЗАПОЛНИ"</formula>
    </cfRule>
  </conditionalFormatting>
  <conditionalFormatting sqref="M36">
    <cfRule type="expression" dxfId="315" priority="102" stopIfTrue="1">
      <formula>$N$36="ОШИБКА"</formula>
    </cfRule>
    <cfRule type="cellIs" dxfId="314" priority="103" operator="notEqual">
      <formula>""</formula>
    </cfRule>
    <cfRule type="expression" dxfId="313" priority="104">
      <formula>$N$33=TRUE</formula>
    </cfRule>
  </conditionalFormatting>
  <conditionalFormatting sqref="I34">
    <cfRule type="expression" dxfId="312" priority="230" stopIfTrue="1">
      <formula>$I$34="НЕ ЗАПОЛНЯЕТСЯ"</formula>
    </cfRule>
    <cfRule type="expression" dxfId="311" priority="231">
      <formula>AND($I$34="ЗАПОЛНИ",OR($M$35="",$M$36="",$M$38=""))</formula>
    </cfRule>
    <cfRule type="expression" dxfId="310" priority="232">
      <formula>AND($I$34="ЗАПОЛНИ",$M$35&lt;&gt;"",$M$36&lt;&gt;"",$M$38&lt;&gt;"")</formula>
    </cfRule>
  </conditionalFormatting>
  <conditionalFormatting sqref="C51">
    <cfRule type="expression" dxfId="309" priority="236" stopIfTrue="1">
      <formula>$C$51="НЕ ЗАПОЛНЯЕТСЯ"</formula>
    </cfRule>
    <cfRule type="expression" dxfId="308" priority="237">
      <formula>AND($C$51="ЗАПОЛНИ",$G$52="")</formula>
    </cfRule>
    <cfRule type="expression" dxfId="307" priority="238">
      <formula>AND($C$51="ЗАПОЛНИ",$G$52&lt;&gt;"")</formula>
    </cfRule>
  </conditionalFormatting>
  <conditionalFormatting sqref="C34">
    <cfRule type="expression" dxfId="306" priority="239" stopIfTrue="1">
      <formula>$C$34="НЕ ЗАПОЛНЯЕТСЯ"</formula>
    </cfRule>
    <cfRule type="expression" dxfId="305" priority="240">
      <formula>AND($C$34="ЗАПОЛНИ",$G$38="")</formula>
    </cfRule>
    <cfRule type="expression" dxfId="304" priority="241">
      <formula>AND($C$34="ЗАПОЛНИ",$G$38&lt;&gt;"")</formula>
    </cfRule>
  </conditionalFormatting>
  <conditionalFormatting sqref="M44">
    <cfRule type="expression" dxfId="303" priority="85" stopIfTrue="1">
      <formula>$N$44="ОШИБКА"</formula>
    </cfRule>
    <cfRule type="cellIs" dxfId="302" priority="86" operator="notEqual">
      <formula>""</formula>
    </cfRule>
    <cfRule type="expression" dxfId="301" priority="87">
      <formula>$N$41=TRUE</formula>
    </cfRule>
  </conditionalFormatting>
  <conditionalFormatting sqref="M45">
    <cfRule type="expression" dxfId="300" priority="82" stopIfTrue="1">
      <formula>$N$45="ОШИБКА"</formula>
    </cfRule>
    <cfRule type="cellIs" dxfId="299" priority="83" operator="notEqual">
      <formula>""</formula>
    </cfRule>
    <cfRule type="expression" dxfId="298" priority="84">
      <formula>$N$42=TRUE</formula>
    </cfRule>
  </conditionalFormatting>
  <conditionalFormatting sqref="I43">
    <cfRule type="expression" dxfId="297" priority="79" stopIfTrue="1">
      <formula>$I$43="НЕ ЗАПОЛНЯЕТСЯ"</formula>
    </cfRule>
    <cfRule type="expression" dxfId="296" priority="80">
      <formula>AND($I$43="ЗАПОЛНИ",OR($M$44="",$M$45="",$M$47=""))</formula>
    </cfRule>
    <cfRule type="expression" dxfId="295" priority="81">
      <formula>AND($I$43="ЗАПОЛНИ",$M$44&lt;&gt;"",$M$45&lt;&gt;"",$M$47&lt;&gt;"")</formula>
    </cfRule>
  </conditionalFormatting>
  <conditionalFormatting sqref="M38">
    <cfRule type="expression" dxfId="294" priority="76" stopIfTrue="1">
      <formula>$N$38="ОШИБКА"</formula>
    </cfRule>
    <cfRule type="cellIs" dxfId="293" priority="77" operator="notEqual">
      <formula>""</formula>
    </cfRule>
    <cfRule type="expression" dxfId="292" priority="78">
      <formula>$N$34=TRUE</formula>
    </cfRule>
  </conditionalFormatting>
  <conditionalFormatting sqref="M47">
    <cfRule type="expression" dxfId="291" priority="73" stopIfTrue="1">
      <formula>$N$47="ОШИБКА"</formula>
    </cfRule>
    <cfRule type="cellIs" dxfId="290" priority="74" operator="notEqual">
      <formula>""</formula>
    </cfRule>
    <cfRule type="expression" dxfId="289" priority="75">
      <formula>$N$43=TRUE</formula>
    </cfRule>
  </conditionalFormatting>
  <conditionalFormatting sqref="Q37">
    <cfRule type="expression" dxfId="288" priority="69">
      <formula>$R$33=TRUE</formula>
    </cfRule>
    <cfRule type="expression" dxfId="287" priority="70" stopIfTrue="1">
      <formula>$R$37="ОШИБКА"</formula>
    </cfRule>
    <cfRule type="cellIs" dxfId="286" priority="71" operator="notEqual">
      <formula>""</formula>
    </cfRule>
  </conditionalFormatting>
  <conditionalFormatting sqref="H44">
    <cfRule type="expression" dxfId="285" priority="65">
      <formula>OR($H$44="см. блок 1 параметр 5",$H$44="ОШИБКА")</formula>
    </cfRule>
  </conditionalFormatting>
  <conditionalFormatting sqref="K18">
    <cfRule type="expression" dxfId="284" priority="64">
      <formula>$K$18="рекомендуется тип К, см. блок 3"</formula>
    </cfRule>
  </conditionalFormatting>
  <conditionalFormatting sqref="N36">
    <cfRule type="expression" dxfId="283" priority="48">
      <formula>OR($N$45="ОШИБКА",$R$42="ОШИБКА")</formula>
    </cfRule>
    <cfRule type="expression" dxfId="282" priority="62">
      <formula>OR($N$36="ОШИБКА должно быть одинаковым",$N$36="ОШИБКА")</formula>
    </cfRule>
  </conditionalFormatting>
  <conditionalFormatting sqref="N45">
    <cfRule type="expression" dxfId="281" priority="49">
      <formula>OR($N$36="ОШИБКА",$R$42="ОШИБКА")</formula>
    </cfRule>
    <cfRule type="expression" dxfId="280" priority="60">
      <formula>OR($N$45="ОШИБКА должно быть одинаковым",$N$45="ОШИБКА")</formula>
    </cfRule>
  </conditionalFormatting>
  <conditionalFormatting sqref="H38">
    <cfRule type="cellIs" dxfId="279" priority="59" operator="equal">
      <formula>"ОШИБКА"</formula>
    </cfRule>
  </conditionalFormatting>
  <conditionalFormatting sqref="H43">
    <cfRule type="cellIs" dxfId="278" priority="58" operator="equal">
      <formula>"ОШИБКА"</formula>
    </cfRule>
  </conditionalFormatting>
  <conditionalFormatting sqref="H46">
    <cfRule type="cellIs" dxfId="277" priority="57" operator="equal">
      <formula>"ОШИБКА"</formula>
    </cfRule>
  </conditionalFormatting>
  <conditionalFormatting sqref="H52">
    <cfRule type="cellIs" dxfId="276" priority="56" operator="equal">
      <formula>"ОШИБКА"</formula>
    </cfRule>
  </conditionalFormatting>
  <conditionalFormatting sqref="N35">
    <cfRule type="cellIs" dxfId="275" priority="55" operator="equal">
      <formula>"ОШИБКА"</formula>
    </cfRule>
  </conditionalFormatting>
  <conditionalFormatting sqref="N38">
    <cfRule type="cellIs" dxfId="274" priority="54" operator="equal">
      <formula>"ОШИБКА"</formula>
    </cfRule>
  </conditionalFormatting>
  <conditionalFormatting sqref="N44">
    <cfRule type="cellIs" dxfId="273" priority="53" operator="equal">
      <formula>"ОШИБКА"</formula>
    </cfRule>
  </conditionalFormatting>
  <conditionalFormatting sqref="N47">
    <cfRule type="cellIs" dxfId="272" priority="52" operator="equal">
      <formula>"ОШИБКА"</formula>
    </cfRule>
  </conditionalFormatting>
  <conditionalFormatting sqref="R35">
    <cfRule type="cellIs" dxfId="271" priority="51" operator="equal">
      <formula>"ОШИБКА"</formula>
    </cfRule>
  </conditionalFormatting>
  <conditionalFormatting sqref="R37:R38">
    <cfRule type="cellIs" dxfId="270" priority="50" operator="equal">
      <formula>"ОШИБКА"</formula>
    </cfRule>
  </conditionalFormatting>
  <conditionalFormatting sqref="Q52">
    <cfRule type="expression" dxfId="269" priority="46">
      <formula>$Q$52=""</formula>
    </cfRule>
    <cfRule type="cellIs" dxfId="268" priority="47" operator="notEqual">
      <formula>""</formula>
    </cfRule>
  </conditionalFormatting>
  <conditionalFormatting sqref="Q53">
    <cfRule type="expression" dxfId="267" priority="45">
      <formula>$Q$53=0</formula>
    </cfRule>
  </conditionalFormatting>
  <conditionalFormatting sqref="R40">
    <cfRule type="cellIs" dxfId="266" priority="22" operator="equal">
      <formula>"ОШИБКА"</formula>
    </cfRule>
  </conditionalFormatting>
  <conditionalFormatting sqref="O39">
    <cfRule type="expression" dxfId="265" priority="18" stopIfTrue="1">
      <formula>$O$39="НЕ ЗАПОЛНЯЕТСЯ"</formula>
    </cfRule>
    <cfRule type="expression" dxfId="264" priority="19">
      <formula>AND($O$39="ЗАПОЛНИ",$Q$40="")</formula>
    </cfRule>
    <cfRule type="expression" dxfId="263" priority="20">
      <formula>AND($O$39="ЗАПОЛНИ",$Q$40&lt;&gt;"")</formula>
    </cfRule>
  </conditionalFormatting>
  <conditionalFormatting sqref="Q42">
    <cfRule type="expression" dxfId="262" priority="12" stopIfTrue="1">
      <formula>$R$42="ОШИБКА"</formula>
    </cfRule>
    <cfRule type="cellIs" dxfId="261" priority="13" operator="notEqual">
      <formula>""</formula>
    </cfRule>
    <cfRule type="expression" dxfId="260" priority="14">
      <formula>$R$41=TRUE</formula>
    </cfRule>
  </conditionalFormatting>
  <conditionalFormatting sqref="Q40">
    <cfRule type="expression" dxfId="259" priority="9" stopIfTrue="1">
      <formula>$R$40="ОШИБКА"</formula>
    </cfRule>
    <cfRule type="cellIs" dxfId="258" priority="10" operator="notEqual">
      <formula>""</formula>
    </cfRule>
    <cfRule type="expression" dxfId="257" priority="11">
      <formula>$R$39=TRUE</formula>
    </cfRule>
  </conditionalFormatting>
  <conditionalFormatting sqref="R42">
    <cfRule type="expression" dxfId="256" priority="7">
      <formula>OR($N$45="ОШИБКА",$N$36="ОШИБКА")</formula>
    </cfRule>
    <cfRule type="expression" dxfId="255" priority="8">
      <formula>OR($R$42="ОШИБКА должно быть одинаковым",$R$42="ОШИБКА")</formula>
    </cfRule>
  </conditionalFormatting>
  <conditionalFormatting sqref="O41">
    <cfRule type="expression" dxfId="254" priority="4" stopIfTrue="1">
      <formula>$O$41="НЕ ЗАПОЛНЯЕТСЯ"</formula>
    </cfRule>
    <cfRule type="expression" dxfId="253" priority="5">
      <formula>AND($O$41="ЗАПОЛНИ",$Q$42="")</formula>
    </cfRule>
    <cfRule type="expression" dxfId="252" priority="6">
      <formula>AND($O$41="ЗАПОЛНИ",$Q$42&lt;&gt;"")</formula>
    </cfRule>
  </conditionalFormatting>
  <conditionalFormatting sqref="A1:E25">
    <cfRule type="expression" priority="2">
      <formula>OR($H$38="ОШИБКА",$H$43="ОШИБКА")</formula>
    </cfRule>
    <cfRule type="expression" priority="3">
      <formula>OR($R$35="ОШИБКА")</formula>
    </cfRule>
  </conditionalFormatting>
  <dataValidations count="1">
    <dataValidation type="list" allowBlank="1" showInputMessage="1" showErrorMessage="1" sqref="G48">
      <formula1>$D$36:$D$49</formula1>
    </dataValidation>
  </dataValidations>
  <pageMargins left="0.7" right="0.7" top="0.75" bottom="0.75" header="0.3" footer="0.3"/>
  <pageSetup paperSize="9" scale="30" orientation="portrait" r:id="rId1"/>
  <rowBreaks count="1" manualBreakCount="1">
    <brk id="25" max="18" man="1"/>
  </rowBreaks>
  <ignoredErrors>
    <ignoredError sqref="R4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'-'!$E$9:$E$12</xm:f>
          </x14:formula1>
          <xm:sqref>Q40</xm:sqref>
        </x14:dataValidation>
        <x14:dataValidation type="list" allowBlank="1" showInputMessage="1" showErrorMessage="1">
          <x14:formula1>
            <xm:f>'-'!$E$45:$E$48</xm:f>
          </x14:formula1>
          <xm:sqref>M35</xm:sqref>
        </x14:dataValidation>
        <x14:dataValidation type="list" allowBlank="1" showInputMessage="1" showErrorMessage="1">
          <x14:formula1>
            <xm:f>'-'!$E$40:$E$44</xm:f>
          </x14:formula1>
          <xm:sqref>G52</xm:sqref>
        </x14:dataValidation>
        <x14:dataValidation type="list" allowBlank="1" showInputMessage="1" showErrorMessage="1">
          <x14:formula1>
            <xm:f>'-'!$E$23:$E$25</xm:f>
          </x14:formula1>
          <xm:sqref>G46</xm:sqref>
        </x14:dataValidation>
        <x14:dataValidation type="list" allowBlank="1" showInputMessage="1" showErrorMessage="1">
          <x14:formula1>
            <xm:f>'-'!$E$20:$E$22</xm:f>
          </x14:formula1>
          <xm:sqref>G44</xm:sqref>
        </x14:dataValidation>
        <x14:dataValidation type="list" allowBlank="1" showInputMessage="1" showErrorMessage="1">
          <x14:formula1>
            <xm:f>'-'!$O$1:$O$3</xm:f>
          </x14:formula1>
          <xm:sqref>Q16</xm:sqref>
        </x14:dataValidation>
        <x14:dataValidation type="list" allowBlank="1" showInputMessage="1" showErrorMessage="1">
          <x14:formula1>
            <xm:f>'-'!$N$1:$N$3</xm:f>
          </x14:formula1>
          <xm:sqref>P16</xm:sqref>
        </x14:dataValidation>
        <x14:dataValidation type="list" allowBlank="1" showInputMessage="1" showErrorMessage="1">
          <x14:formula1>
            <xm:f>'-'!$L$1:$L$3</xm:f>
          </x14:formula1>
          <xm:sqref>N16</xm:sqref>
        </x14:dataValidation>
        <x14:dataValidation type="list" allowBlank="1" showInputMessage="1" showErrorMessage="1">
          <x14:formula1>
            <xm:f>'-'!$K$1:$K$3</xm:f>
          </x14:formula1>
          <xm:sqref>M16</xm:sqref>
        </x14:dataValidation>
        <x14:dataValidation type="list" allowBlank="1" showInputMessage="1" showErrorMessage="1">
          <x14:formula1>
            <xm:f>'-'!$I$1:$I$3</xm:f>
          </x14:formula1>
          <xm:sqref>K16</xm:sqref>
        </x14:dataValidation>
        <x14:dataValidation type="list" allowBlank="1" showInputMessage="1" showErrorMessage="1">
          <x14:formula1>
            <xm:f>'-'!$H$1:$H$3</xm:f>
          </x14:formula1>
          <xm:sqref>J16</xm:sqref>
        </x14:dataValidation>
        <x14:dataValidation type="list" allowBlank="1" showInputMessage="1" showErrorMessage="1">
          <x14:formula1>
            <xm:f>'-'!$E$1:$E$3</xm:f>
          </x14:formula1>
          <xm:sqref>G16</xm:sqref>
        </x14:dataValidation>
        <x14:dataValidation type="list" allowBlank="1" showInputMessage="1" showErrorMessage="1">
          <x14:formula1>
            <xm:f>'-'!$E$53:$E$55</xm:f>
          </x14:formula1>
          <xm:sqref>Q37</xm:sqref>
        </x14:dataValidation>
        <x14:dataValidation type="list" allowBlank="1" showInputMessage="1" showErrorMessage="1">
          <x14:formula1>
            <xm:f>'-'!$E$56:$E$60</xm:f>
          </x14:formula1>
          <xm:sqref>M36 Q42 M45</xm:sqref>
        </x14:dataValidation>
        <x14:dataValidation type="list" allowBlank="1" showInputMessage="1" showErrorMessage="1">
          <x14:formula1>
            <xm:f>'-'!$E$49:$E$52</xm:f>
          </x14:formula1>
          <xm:sqref>M44</xm:sqref>
        </x14:dataValidation>
        <x14:dataValidation type="list" allowBlank="1" showInputMessage="1" showErrorMessage="1">
          <x14:formula1>
            <xm:f>'-'!$E$27:$E$39</xm:f>
          </x14:formula1>
          <xm:sqref>G40</xm:sqref>
        </x14:dataValidation>
        <x14:dataValidation type="list" allowBlank="1" showInputMessage="1" showErrorMessage="1">
          <x14:formula1>
            <xm:f>'-'!$E$26:$E$39</xm:f>
          </x14:formula1>
          <xm:sqref>G38</xm:sqref>
        </x14:dataValidation>
        <x14:dataValidation type="list" allowBlank="1" showInputMessage="1" showErrorMessage="1">
          <x14:formula1>
            <xm:f>'-'!$E$61:$E$63</xm:f>
          </x14:formula1>
          <xm:sqref>M38 M47</xm:sqref>
        </x14:dataValidation>
        <x14:dataValidation type="list" allowBlank="1" showInputMessage="1" showErrorMessage="1">
          <x14:formula1>
            <xm:f>'-'!$E$5:$E$8</xm:f>
          </x14:formula1>
          <xm:sqref>G30</xm:sqref>
        </x14:dataValidation>
        <x14:dataValidation type="list" allowBlank="1" showInputMessage="1" showErrorMessage="1">
          <x14:formula1>
            <xm:f>'-'!$E$67:$E$73</xm:f>
          </x14:formula1>
          <xm:sqref>Q52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="70" zoomScaleNormal="70" zoomScaleSheetLayoutView="85" zoomScalePageLayoutView="40" workbookViewId="0">
      <selection activeCell="B2" sqref="B2:R2"/>
    </sheetView>
  </sheetViews>
  <sheetFormatPr defaultRowHeight="18" x14ac:dyDescent="0.2"/>
  <cols>
    <col min="1" max="1" width="9.33203125" style="16"/>
    <col min="2" max="2" width="15.83203125" style="16" customWidth="1"/>
    <col min="3" max="3" width="10.83203125" style="16" customWidth="1"/>
    <col min="4" max="4" width="15.83203125" style="16" customWidth="1"/>
    <col min="5" max="5" width="30.83203125" style="16" customWidth="1"/>
    <col min="6" max="6" width="15.83203125" style="16" customWidth="1"/>
    <col min="7" max="7" width="20.83203125" style="16" customWidth="1"/>
    <col min="8" max="8" width="15.83203125" style="16" customWidth="1"/>
    <col min="9" max="9" width="10.83203125" style="16" customWidth="1"/>
    <col min="10" max="10" width="15.83203125" style="16" customWidth="1"/>
    <col min="11" max="11" width="30.83203125" style="16" customWidth="1"/>
    <col min="12" max="12" width="15.83203125" style="16" customWidth="1"/>
    <col min="13" max="13" width="20.83203125" style="16" customWidth="1"/>
    <col min="14" max="14" width="15.83203125" style="16" customWidth="1"/>
    <col min="15" max="15" width="10.83203125" style="16" customWidth="1"/>
    <col min="16" max="16" width="60.83203125" style="16" customWidth="1"/>
    <col min="17" max="17" width="20.83203125" style="16" customWidth="1"/>
    <col min="18" max="18" width="15.83203125" style="16" customWidth="1"/>
    <col min="19" max="16384" width="9.33203125" style="16"/>
  </cols>
  <sheetData>
    <row r="1" spans="1:18" ht="18.75" thickBot="1" x14ac:dyDescent="0.25"/>
    <row r="2" spans="1:18" ht="30" customHeight="1" thickTop="1" thickBot="1" x14ac:dyDescent="0.25">
      <c r="B2" s="184" t="s">
        <v>79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6"/>
    </row>
    <row r="3" spans="1:18" ht="18.75" thickTop="1" x14ac:dyDescent="0.2">
      <c r="B3" s="32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33"/>
    </row>
    <row r="4" spans="1:18" ht="20.100000000000001" customHeight="1" x14ac:dyDescent="0.2">
      <c r="A4" s="28"/>
      <c r="B4" s="36"/>
      <c r="C4" s="153" t="s">
        <v>166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1"/>
      <c r="R4" s="39"/>
    </row>
    <row r="5" spans="1:18" ht="20.100000000000001" customHeight="1" x14ac:dyDescent="0.2">
      <c r="A5" s="28"/>
      <c r="B5" s="36"/>
      <c r="C5" s="154" t="s">
        <v>69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82"/>
      <c r="R5" s="39"/>
    </row>
    <row r="6" spans="1:18" ht="20.100000000000001" customHeight="1" x14ac:dyDescent="0.2">
      <c r="A6" s="28"/>
      <c r="B6" s="36"/>
      <c r="C6" s="151" t="s">
        <v>165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24"/>
      <c r="P6" s="20"/>
      <c r="Q6" s="82"/>
      <c r="R6" s="39"/>
    </row>
    <row r="7" spans="1:18" ht="20.100000000000001" customHeight="1" x14ac:dyDescent="0.2">
      <c r="A7" s="28"/>
      <c r="B7" s="36"/>
      <c r="C7" s="151" t="s">
        <v>174</v>
      </c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20"/>
      <c r="O7" s="25"/>
      <c r="P7" s="20"/>
      <c r="Q7" s="82"/>
      <c r="R7" s="39"/>
    </row>
    <row r="8" spans="1:18" ht="20.100000000000001" customHeight="1" x14ac:dyDescent="0.2">
      <c r="A8" s="28"/>
      <c r="B8" s="36"/>
      <c r="C8" s="151" t="s">
        <v>50</v>
      </c>
      <c r="D8" s="151"/>
      <c r="E8" s="151"/>
      <c r="F8" s="151"/>
      <c r="G8" s="151"/>
      <c r="H8" s="151"/>
      <c r="I8" s="151"/>
      <c r="J8" s="151"/>
      <c r="K8" s="151"/>
      <c r="L8" s="152"/>
      <c r="M8" s="20"/>
      <c r="N8" s="20"/>
      <c r="O8" s="25"/>
      <c r="P8" s="20"/>
      <c r="Q8" s="82"/>
      <c r="R8" s="39"/>
    </row>
    <row r="9" spans="1:18" ht="20.100000000000001" customHeight="1" x14ac:dyDescent="0.2">
      <c r="A9" s="28"/>
      <c r="B9" s="36"/>
      <c r="C9" s="151" t="s">
        <v>71</v>
      </c>
      <c r="D9" s="151"/>
      <c r="E9" s="151"/>
      <c r="F9" s="151"/>
      <c r="G9" s="151"/>
      <c r="H9" s="151"/>
      <c r="I9" s="151"/>
      <c r="J9" s="151"/>
      <c r="K9" s="152"/>
      <c r="L9" s="20"/>
      <c r="M9" s="20"/>
      <c r="N9" s="20"/>
      <c r="O9" s="25"/>
      <c r="P9" s="20"/>
      <c r="Q9" s="82"/>
      <c r="R9" s="39"/>
    </row>
    <row r="10" spans="1:18" ht="20.100000000000001" customHeight="1" x14ac:dyDescent="0.2">
      <c r="A10" s="28"/>
      <c r="B10" s="36"/>
      <c r="C10" s="151" t="s">
        <v>73</v>
      </c>
      <c r="D10" s="151"/>
      <c r="E10" s="151"/>
      <c r="F10" s="151"/>
      <c r="G10" s="151"/>
      <c r="H10" s="151"/>
      <c r="I10" s="151"/>
      <c r="J10" s="152"/>
      <c r="K10" s="20"/>
      <c r="L10" s="20"/>
      <c r="M10" s="20"/>
      <c r="N10" s="20"/>
      <c r="O10" s="25"/>
      <c r="P10" s="20"/>
      <c r="Q10" s="82"/>
      <c r="R10" s="39"/>
    </row>
    <row r="11" spans="1:18" ht="20.100000000000001" customHeight="1" x14ac:dyDescent="0.2">
      <c r="A11" s="28"/>
      <c r="B11" s="36"/>
      <c r="C11" s="151" t="s">
        <v>74</v>
      </c>
      <c r="D11" s="151"/>
      <c r="E11" s="151"/>
      <c r="F11" s="151"/>
      <c r="G11" s="151"/>
      <c r="H11" s="152"/>
      <c r="I11" s="24"/>
      <c r="J11" s="19"/>
      <c r="K11" s="20"/>
      <c r="L11" s="20"/>
      <c r="M11" s="20"/>
      <c r="N11" s="20"/>
      <c r="O11" s="25"/>
      <c r="P11" s="20"/>
      <c r="Q11" s="82"/>
      <c r="R11" s="39"/>
    </row>
    <row r="12" spans="1:18" ht="20.100000000000001" customHeight="1" x14ac:dyDescent="0.2">
      <c r="A12" s="28"/>
      <c r="B12" s="36"/>
      <c r="C12" s="151" t="s">
        <v>72</v>
      </c>
      <c r="D12" s="151"/>
      <c r="E12" s="151"/>
      <c r="F12" s="151"/>
      <c r="G12" s="152"/>
      <c r="H12" s="19"/>
      <c r="I12" s="25"/>
      <c r="J12" s="19"/>
      <c r="K12" s="20"/>
      <c r="L12" s="20"/>
      <c r="M12" s="20"/>
      <c r="N12" s="20"/>
      <c r="O12" s="25"/>
      <c r="P12" s="20"/>
      <c r="Q12" s="82"/>
      <c r="R12" s="39"/>
    </row>
    <row r="13" spans="1:18" ht="20.100000000000001" customHeight="1" x14ac:dyDescent="0.2">
      <c r="A13" s="28"/>
      <c r="B13" s="36"/>
      <c r="C13" s="151" t="s">
        <v>51</v>
      </c>
      <c r="D13" s="151"/>
      <c r="E13" s="151"/>
      <c r="F13" s="152"/>
      <c r="G13" s="20"/>
      <c r="H13" s="20"/>
      <c r="I13" s="25"/>
      <c r="J13" s="19"/>
      <c r="K13" s="20"/>
      <c r="L13" s="20"/>
      <c r="M13" s="20"/>
      <c r="N13" s="20"/>
      <c r="O13" s="25"/>
      <c r="P13" s="20"/>
      <c r="Q13" s="82"/>
      <c r="R13" s="39"/>
    </row>
    <row r="14" spans="1:18" ht="20.100000000000001" customHeight="1" x14ac:dyDescent="0.2">
      <c r="B14" s="36"/>
      <c r="C14" s="130"/>
      <c r="D14" s="130"/>
      <c r="E14" s="131"/>
      <c r="F14" s="13"/>
      <c r="G14" s="13"/>
      <c r="H14" s="13"/>
      <c r="I14" s="26"/>
      <c r="J14" s="13"/>
      <c r="K14" s="15"/>
      <c r="L14" s="13"/>
      <c r="M14" s="14"/>
      <c r="N14" s="13"/>
      <c r="O14" s="27"/>
      <c r="P14" s="21"/>
      <c r="Q14" s="37"/>
      <c r="R14" s="39"/>
    </row>
    <row r="15" spans="1:18" ht="20.100000000000001" customHeight="1" thickBot="1" x14ac:dyDescent="0.25">
      <c r="B15" s="36"/>
      <c r="C15" s="132" t="s">
        <v>52</v>
      </c>
      <c r="D15" s="132"/>
      <c r="E15" s="133"/>
      <c r="F15" s="30">
        <v>1</v>
      </c>
      <c r="G15" s="30">
        <v>2</v>
      </c>
      <c r="H15" s="30">
        <v>3</v>
      </c>
      <c r="I15" s="30" t="s">
        <v>36</v>
      </c>
      <c r="J15" s="30">
        <v>4</v>
      </c>
      <c r="K15" s="30">
        <v>5</v>
      </c>
      <c r="L15" s="30">
        <v>6</v>
      </c>
      <c r="M15" s="30">
        <v>7</v>
      </c>
      <c r="N15" s="30">
        <v>8</v>
      </c>
      <c r="O15" s="30" t="s">
        <v>36</v>
      </c>
      <c r="P15" s="30">
        <v>9</v>
      </c>
      <c r="Q15" s="38">
        <v>10</v>
      </c>
      <c r="R15" s="39"/>
    </row>
    <row r="16" spans="1:18" ht="20.100000000000001" customHeight="1" thickBot="1" x14ac:dyDescent="0.25">
      <c r="B16" s="6"/>
      <c r="C16" s="134" t="s">
        <v>39</v>
      </c>
      <c r="D16" s="135"/>
      <c r="E16" s="136"/>
      <c r="F16" s="101" t="s">
        <v>40</v>
      </c>
      <c r="G16" s="31"/>
      <c r="H16" s="101">
        <v>12</v>
      </c>
      <c r="I16" s="102" t="s">
        <v>36</v>
      </c>
      <c r="J16" s="31"/>
      <c r="K16" s="31"/>
      <c r="L16" s="101">
        <v>170</v>
      </c>
      <c r="M16" s="31"/>
      <c r="N16" s="31"/>
      <c r="O16" s="101" t="s">
        <v>36</v>
      </c>
      <c r="P16" s="31"/>
      <c r="Q16" s="80"/>
      <c r="R16" s="34"/>
    </row>
    <row r="17" spans="2:18" ht="20.100000000000001" customHeight="1" x14ac:dyDescent="0.2">
      <c r="B17" s="6"/>
      <c r="C17" s="7"/>
      <c r="D17" s="7"/>
      <c r="E17" s="7"/>
      <c r="F17" s="7"/>
      <c r="G17" s="9" t="str">
        <f>IF(G16="F","ЕСТЬ",IF(G16="_","НЕТ","ЗАПОЛНИ"))</f>
        <v>ЗАПОЛНИ</v>
      </c>
      <c r="H17" s="29"/>
      <c r="I17" s="29"/>
      <c r="J17" s="9" t="str">
        <f>IF(J16=6,"630",IF(J16=4,"400","ЗАПОЛНИ"))</f>
        <v>ЗАПОЛНИ</v>
      </c>
      <c r="K17" s="9" t="str">
        <f>IF(G16=0,IF(K16="A","2-пружинный",IF(K16="K","1-пружинный","ЗАПОЛНИ")),IF(G16="_",IF(K16="A","2-пружинный",IF(K16="K","1-пружинный","ЗАПОЛНИ")),IF(K16="A","2-пружинный",IF(K16="K","1-пружинный","Рекомендуется тип А"))))</f>
        <v>ЗАПОЛНИ</v>
      </c>
      <c r="L17" s="29"/>
      <c r="M17" s="9" t="str">
        <f>IF(M16="R","правосторонний",IF(M16="L","левосторонний","ЗАПОЛНИ"))</f>
        <v>ЗАПОЛНИ</v>
      </c>
      <c r="N17" s="9" t="str">
        <f>IF(N16="E","ЕСТЬ",IF(N16="_","НЕТ","ЗАПОЛНИ"))</f>
        <v>ЗАПОЛНИ</v>
      </c>
      <c r="O17" s="29"/>
      <c r="P17" s="9" t="str">
        <f>IF(P16="HE","ручной",IF(P16="NM","электропривод с возможностью ручного управления","ЗАПОЛНИ"))</f>
        <v>ЗАПОЛНИ</v>
      </c>
      <c r="Q17" s="42" t="str">
        <f>IF(Q16="EB","ЕСТЬ",IF(Q16="_","НЕТ","ЗАПОЛНИ"))</f>
        <v>ЗАПОЛНИ</v>
      </c>
      <c r="R17" s="8"/>
    </row>
    <row r="18" spans="2:18" ht="20.100000000000001" customHeight="1" thickBot="1" x14ac:dyDescent="0.25">
      <c r="B18" s="10"/>
      <c r="C18" s="11"/>
      <c r="D18" s="11"/>
      <c r="E18" s="11"/>
      <c r="F18" s="11"/>
      <c r="G18" s="64"/>
      <c r="H18" s="64"/>
      <c r="I18" s="64"/>
      <c r="J18" s="64"/>
      <c r="K18" s="41" t="str">
        <f>IF(AND(G16="F",K16="K"),"рекомендуется тип А",IF(H44="см. блок 1 параметр 5","рекомендуется тип К, см. блок 3",""))</f>
        <v/>
      </c>
      <c r="L18" s="64"/>
      <c r="M18" s="41" t="str">
        <f>IF(M16="L","рекомендуется правосторонний","")</f>
        <v/>
      </c>
      <c r="N18" s="64"/>
      <c r="O18" s="64"/>
      <c r="P18" s="41"/>
      <c r="Q18" s="64"/>
      <c r="R18" s="12"/>
    </row>
    <row r="19" spans="2:18" ht="20.100000000000001" customHeight="1" thickTop="1" x14ac:dyDescent="0.2">
      <c r="G19" s="17"/>
      <c r="J19" s="17"/>
      <c r="K19" s="17"/>
      <c r="M19" s="17"/>
      <c r="N19" s="17"/>
      <c r="P19" s="17"/>
      <c r="Q19" s="17"/>
    </row>
    <row r="20" spans="2:18" ht="20.100000000000001" customHeight="1" thickBot="1" x14ac:dyDescent="0.25">
      <c r="G20" s="17"/>
      <c r="J20" s="17"/>
      <c r="K20" s="17"/>
      <c r="M20" s="17"/>
      <c r="N20" s="17"/>
      <c r="P20" s="17"/>
      <c r="Q20" s="17"/>
    </row>
    <row r="21" spans="2:18" ht="30" customHeight="1" thickTop="1" thickBot="1" x14ac:dyDescent="0.25">
      <c r="B21" s="184" t="s">
        <v>80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</row>
    <row r="22" spans="2:18" ht="20.100000000000001" customHeight="1" thickTop="1" thickBot="1" x14ac:dyDescent="0.25">
      <c r="B22" s="3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33"/>
    </row>
    <row r="23" spans="2:18" ht="20.100000000000001" customHeight="1" thickBot="1" x14ac:dyDescent="0.25">
      <c r="B23" s="35"/>
      <c r="C23" s="137" t="s">
        <v>182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39">
        <v>0</v>
      </c>
      <c r="Q23" s="140"/>
      <c r="R23" s="43" t="str">
        <f>IF(OR(P23="",ISNUMBER(P23)),"","ОШИБКА")</f>
        <v/>
      </c>
    </row>
    <row r="24" spans="2:18" ht="20.100000000000001" customHeight="1" thickBot="1" x14ac:dyDescent="0.2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41" t="str">
        <f>IF(P23&lt;=0,"ЗАПОЛНИ"," ")</f>
        <v>ЗАПОЛНИ</v>
      </c>
      <c r="Q24" s="141"/>
      <c r="R24" s="12"/>
    </row>
    <row r="25" spans="2:18" ht="20.100000000000001" customHeight="1" thickTop="1" x14ac:dyDescent="0.2">
      <c r="P25" s="18"/>
      <c r="Q25" s="18"/>
    </row>
    <row r="26" spans="2:18" ht="20.100000000000001" customHeight="1" thickBot="1" x14ac:dyDescent="0.25"/>
    <row r="27" spans="2:18" ht="30" customHeight="1" thickTop="1" thickBot="1" x14ac:dyDescent="0.25">
      <c r="B27" s="184" t="s">
        <v>81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</row>
    <row r="28" spans="2:18" ht="20.100000000000001" customHeight="1" thickTop="1" thickBot="1" x14ac:dyDescent="0.25">
      <c r="B28" s="187" t="s">
        <v>67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</row>
    <row r="29" spans="2:18" ht="20.100000000000001" customHeight="1" thickTop="1" thickBot="1" x14ac:dyDescent="0.25">
      <c r="B29" s="32"/>
      <c r="C29" s="7"/>
      <c r="D29" s="7"/>
      <c r="E29" s="7"/>
      <c r="F29" s="7"/>
      <c r="G29" s="7"/>
      <c r="H29" s="73"/>
      <c r="I29" s="7"/>
      <c r="J29" s="7"/>
      <c r="K29" s="7"/>
      <c r="L29" s="7"/>
      <c r="M29" s="7"/>
      <c r="N29" s="72"/>
      <c r="O29" s="7"/>
      <c r="P29" s="7"/>
      <c r="Q29" s="7"/>
      <c r="R29" s="75"/>
    </row>
    <row r="30" spans="2:18" ht="20.100000000000001" customHeight="1" thickTop="1" thickBot="1" x14ac:dyDescent="0.25">
      <c r="B30" s="6"/>
      <c r="C30" s="196" t="s">
        <v>177</v>
      </c>
      <c r="D30" s="197"/>
      <c r="E30" s="197"/>
      <c r="F30" s="198"/>
      <c r="G30" s="23"/>
      <c r="H30" s="72"/>
      <c r="I30" s="4"/>
      <c r="J30" s="4"/>
      <c r="K30" s="4"/>
      <c r="L30" s="4"/>
      <c r="M30" s="4"/>
      <c r="N30" s="72"/>
      <c r="O30" s="4"/>
      <c r="P30" s="4"/>
      <c r="Q30" s="7"/>
      <c r="R30" s="76"/>
    </row>
    <row r="31" spans="2:18" ht="20.100000000000001" customHeight="1" thickTop="1" thickBot="1" x14ac:dyDescent="0.25">
      <c r="B31" s="6"/>
      <c r="C31" s="7"/>
      <c r="D31" s="7"/>
      <c r="E31" s="7"/>
      <c r="F31" s="7"/>
      <c r="G31" s="63" t="str">
        <f>IF(G30=0,"ЗАПОЛНИ",)</f>
        <v>ЗАПОЛНИ</v>
      </c>
      <c r="H31" s="72"/>
      <c r="I31" s="7"/>
      <c r="J31" s="7"/>
      <c r="K31" s="7"/>
      <c r="L31" s="7"/>
      <c r="M31" s="63"/>
      <c r="N31" s="72"/>
      <c r="O31" s="4"/>
      <c r="P31" s="4"/>
      <c r="Q31" s="7"/>
      <c r="R31" s="76"/>
    </row>
    <row r="32" spans="2:18" ht="20.100000000000001" customHeight="1" thickTop="1" x14ac:dyDescent="0.2">
      <c r="B32" s="6"/>
      <c r="C32" s="118" t="s">
        <v>57</v>
      </c>
      <c r="D32" s="119"/>
      <c r="E32" s="119"/>
      <c r="F32" s="119"/>
      <c r="G32" s="120"/>
      <c r="H32" s="72"/>
      <c r="I32" s="118" t="s">
        <v>78</v>
      </c>
      <c r="J32" s="119"/>
      <c r="K32" s="119"/>
      <c r="L32" s="119"/>
      <c r="M32" s="120"/>
      <c r="N32" s="72" t="b">
        <f>AND(I34="ЗАПОЛНИ",M35=0)</f>
        <v>0</v>
      </c>
      <c r="O32" s="118" t="s">
        <v>68</v>
      </c>
      <c r="P32" s="119"/>
      <c r="Q32" s="120"/>
      <c r="R32" s="77" t="b">
        <f>AND(O34="ЗАПОЛНИ",Q35=0)</f>
        <v>0</v>
      </c>
    </row>
    <row r="33" spans="2:18" ht="20.100000000000001" customHeight="1" thickBot="1" x14ac:dyDescent="0.25">
      <c r="B33" s="6"/>
      <c r="C33" s="121"/>
      <c r="D33" s="122"/>
      <c r="E33" s="122"/>
      <c r="F33" s="122"/>
      <c r="G33" s="123"/>
      <c r="H33" s="72"/>
      <c r="I33" s="121"/>
      <c r="J33" s="122"/>
      <c r="K33" s="122"/>
      <c r="L33" s="122"/>
      <c r="M33" s="123"/>
      <c r="N33" s="72" t="b">
        <f>AND(I34="ЗАПОЛНИ",M36=0)</f>
        <v>0</v>
      </c>
      <c r="O33" s="121"/>
      <c r="P33" s="122"/>
      <c r="Q33" s="123"/>
      <c r="R33" s="77" t="b">
        <f>AND(O34="ЗАПОЛНИ",Q37=0)</f>
        <v>0</v>
      </c>
    </row>
    <row r="34" spans="2:18" ht="20.100000000000001" customHeight="1" thickTop="1" thickBot="1" x14ac:dyDescent="0.25">
      <c r="B34" s="6"/>
      <c r="C34" s="142" t="str">
        <f>IF(G16="F","ЗАПОЛНИ","НЕ ЗАПОЛНЯЕТСЯ")</f>
        <v>НЕ ЗАПОЛНЯЕТСЯ</v>
      </c>
      <c r="D34" s="143"/>
      <c r="E34" s="143"/>
      <c r="F34" s="143"/>
      <c r="G34" s="144"/>
      <c r="H34" s="81"/>
      <c r="I34" s="142" t="str">
        <f>IF(N16="E","ЗАПОЛНИ","НЕ ЗАПОЛНЯЕТСЯ")</f>
        <v>НЕ ЗАПОЛНЯЕТСЯ</v>
      </c>
      <c r="J34" s="143"/>
      <c r="K34" s="143"/>
      <c r="L34" s="143"/>
      <c r="M34" s="144"/>
      <c r="N34" s="72" t="b">
        <f>AND(I34="ЗАПОЛНИ",M38=0)</f>
        <v>0</v>
      </c>
      <c r="O34" s="142" t="str">
        <f>IF(P16="NM","ЗАПОЛНИ","НЕ ЗАПОЛНЯЕТСЯ")</f>
        <v>НЕ ЗАПОЛНЯЕТСЯ</v>
      </c>
      <c r="P34" s="143"/>
      <c r="Q34" s="144"/>
      <c r="R34" s="77"/>
    </row>
    <row r="35" spans="2:18" ht="20.100000000000001" customHeight="1" thickBot="1" x14ac:dyDescent="0.25">
      <c r="B35" s="6"/>
      <c r="C35" s="174" t="s">
        <v>70</v>
      </c>
      <c r="D35" s="175"/>
      <c r="E35" s="175"/>
      <c r="F35" s="175"/>
      <c r="G35" s="176"/>
      <c r="H35" s="81"/>
      <c r="I35" s="170" t="s">
        <v>86</v>
      </c>
      <c r="J35" s="171"/>
      <c r="K35" s="171"/>
      <c r="L35" s="172"/>
      <c r="M35" s="22"/>
      <c r="N35" s="81" t="str">
        <f>IF(I34="НЕ ЗАПОЛНЯЕТСЯ",IF(M35&lt;&gt;"","ОШИБКА"," ")," ")</f>
        <v xml:space="preserve"> </v>
      </c>
      <c r="O35" s="105" t="s">
        <v>173</v>
      </c>
      <c r="P35" s="193"/>
      <c r="Q35" s="223" t="str">
        <f>IF(AND($M$16="R",$P$16="NM"),"слева",IF(AND($M$16="L",$P$16="NM"),"справа",""))</f>
        <v/>
      </c>
      <c r="R35" s="129"/>
    </row>
    <row r="36" spans="2:18" ht="20.100000000000001" customHeight="1" thickBot="1" x14ac:dyDescent="0.25">
      <c r="B36" s="6" t="str">
        <f>IF($B$31&lt;&gt;"",IF(AND($B$35='-'!$A$16,'Опросный лист 2 (заполняется)'!$M$47="+"),'-'!$A$24,""),"")</f>
        <v/>
      </c>
      <c r="C36" s="158" t="s">
        <v>55</v>
      </c>
      <c r="D36" s="159"/>
      <c r="E36" s="160"/>
      <c r="F36" s="161" t="s">
        <v>53</v>
      </c>
      <c r="G36" s="103" t="s">
        <v>58</v>
      </c>
      <c r="H36" s="81"/>
      <c r="I36" s="145" t="s">
        <v>160</v>
      </c>
      <c r="J36" s="146"/>
      <c r="K36" s="146"/>
      <c r="L36" s="147"/>
      <c r="M36" s="109"/>
      <c r="N36" s="126" t="str">
        <f>IF(I34="НЕ ЗАПОЛНЯЕТСЯ",IF(M36&gt;0,"ОШИБКА"," "),IF(OR(AND(M36="24DC",OR(M45="220DC",M45="230AC",Q42="220DC",Q42="230AC")),AND(M36="220DC",OR(M45="24DC",M45="230AC",Q42="24DC",Q42="230AC")),AND(M36="230AC",OR(M45="220DC",M45="24DC",Q42="220DC",Q42="24DC"))),"ОШИБКА должно быть одинаковым"," "))</f>
        <v xml:space="preserve"> </v>
      </c>
      <c r="O36" s="194"/>
      <c r="P36" s="195"/>
      <c r="Q36" s="224"/>
      <c r="R36" s="129"/>
    </row>
    <row r="37" spans="2:18" ht="20.100000000000001" customHeight="1" thickBot="1" x14ac:dyDescent="0.25">
      <c r="B37" s="6"/>
      <c r="C37" s="163" t="s">
        <v>56</v>
      </c>
      <c r="D37" s="164"/>
      <c r="E37" s="165"/>
      <c r="F37" s="162"/>
      <c r="G37" s="104" t="s">
        <v>36</v>
      </c>
      <c r="H37" s="81"/>
      <c r="I37" s="148"/>
      <c r="J37" s="149"/>
      <c r="K37" s="149"/>
      <c r="L37" s="150"/>
      <c r="M37" s="110"/>
      <c r="N37" s="126"/>
      <c r="O37" s="155" t="s">
        <v>82</v>
      </c>
      <c r="P37" s="156"/>
      <c r="Q37" s="109"/>
      <c r="R37" s="129" t="str">
        <f>IF(O34="НЕ ЗАПОЛНЯЕТСЯ",IF(Q37&gt;0,"ОШИБКА"," ")," ")</f>
        <v xml:space="preserve"> </v>
      </c>
    </row>
    <row r="38" spans="2:18" ht="20.100000000000001" customHeight="1" thickBot="1" x14ac:dyDescent="0.25">
      <c r="B38" s="6"/>
      <c r="C38" s="166" t="s">
        <v>162</v>
      </c>
      <c r="D38" s="167"/>
      <c r="E38" s="167"/>
      <c r="F38" s="168"/>
      <c r="G38" s="109"/>
      <c r="H38" s="169" t="str">
        <f>IF(C34="НЕ ЗАПОЛНЯЕТСЯ",IF(G38&gt;0,"ОШИБКА"," ")," ")</f>
        <v xml:space="preserve"> </v>
      </c>
      <c r="I38" s="145" t="s">
        <v>164</v>
      </c>
      <c r="J38" s="146"/>
      <c r="K38" s="146"/>
      <c r="L38" s="147"/>
      <c r="M38" s="109"/>
      <c r="N38" s="126" t="str">
        <f>IF(I34="НЕ ЗАПОЛНЯЕТСЯ",IF(M38&gt;0,"ОШИБКА"," "),IF(AND(M38="+",M16="R"),"монтируется слева от главных ножей",IF(AND(M38="+",M16="L"),"монтируется справа от главных ножей"," ")))</f>
        <v xml:space="preserve"> </v>
      </c>
      <c r="O38" s="155"/>
      <c r="P38" s="156"/>
      <c r="Q38" s="157"/>
      <c r="R38" s="129"/>
    </row>
    <row r="39" spans="2:18" ht="20.100000000000001" customHeight="1" thickBot="1" x14ac:dyDescent="0.25">
      <c r="B39" s="6"/>
      <c r="C39" s="148"/>
      <c r="D39" s="149"/>
      <c r="E39" s="149"/>
      <c r="F39" s="150"/>
      <c r="G39" s="110"/>
      <c r="H39" s="169"/>
      <c r="I39" s="148"/>
      <c r="J39" s="149"/>
      <c r="K39" s="149"/>
      <c r="L39" s="150"/>
      <c r="M39" s="110"/>
      <c r="N39" s="126"/>
      <c r="O39" s="134" t="str">
        <f>IF(OR(P16="NM",P16="HE"),"ЗАПОЛНИ","НЕ ЗАПОЛНЯЕТСЯ")</f>
        <v>НЕ ЗАПОЛНЯЕТСЯ</v>
      </c>
      <c r="P39" s="135"/>
      <c r="Q39" s="136"/>
      <c r="R39" s="77" t="b">
        <f>AND(O39="ЗАПОЛНИ",Q40=0)</f>
        <v>0</v>
      </c>
    </row>
    <row r="40" spans="2:18" ht="20.100000000000001" customHeight="1" thickBot="1" x14ac:dyDescent="0.25">
      <c r="B40" s="6"/>
      <c r="C40" s="40" t="str">
        <f>_xlfn.IFNA(VLOOKUP($B$40,'-'!$A:$B,2,0),"")</f>
        <v/>
      </c>
      <c r="D40" s="9"/>
      <c r="E40" s="9"/>
      <c r="F40" s="7"/>
      <c r="G40" s="7"/>
      <c r="H40" s="81"/>
      <c r="I40" s="7"/>
      <c r="J40" s="7"/>
      <c r="K40" s="7"/>
      <c r="L40" s="7"/>
      <c r="M40" s="5"/>
      <c r="N40" s="72"/>
      <c r="O40" s="127" t="s">
        <v>87</v>
      </c>
      <c r="P40" s="128"/>
      <c r="Q40" s="227"/>
      <c r="R40" s="79" t="str">
        <f>IF(O39="НЕ ЗАПОЛНЯЕТСЯ",IF(Q40&lt;&gt;"","ОШИБКА"," ")," ")</f>
        <v xml:space="preserve"> </v>
      </c>
    </row>
    <row r="41" spans="2:18" ht="20.100000000000001" customHeight="1" thickTop="1" thickBot="1" x14ac:dyDescent="0.25">
      <c r="B41" s="6"/>
      <c r="C41" s="118" t="s">
        <v>62</v>
      </c>
      <c r="D41" s="119"/>
      <c r="E41" s="119"/>
      <c r="F41" s="119"/>
      <c r="G41" s="120"/>
      <c r="H41" s="72" t="b">
        <f>AND(C43="ЗАПОЛНИ",G44=0)</f>
        <v>0</v>
      </c>
      <c r="I41" s="118" t="s">
        <v>85</v>
      </c>
      <c r="J41" s="119"/>
      <c r="K41" s="119"/>
      <c r="L41" s="119"/>
      <c r="M41" s="120"/>
      <c r="N41" s="72" t="b">
        <f>AND(I43="ЗАПОЛНИ",M44=0)</f>
        <v>0</v>
      </c>
      <c r="O41" s="134" t="str">
        <f>IF(P16="HE","ЗАПОЛНИ","НЕ ЗАПОЛНЯЕТСЯ")</f>
        <v>НЕ ЗАПОЛНЯЕТСЯ</v>
      </c>
      <c r="P41" s="135"/>
      <c r="Q41" s="136"/>
      <c r="R41" s="77" t="b">
        <f>AND(O41="ЗАПОЛНИ",Q42=0)</f>
        <v>0</v>
      </c>
    </row>
    <row r="42" spans="2:18" ht="20.100000000000001" customHeight="1" thickBot="1" x14ac:dyDescent="0.25">
      <c r="B42" s="6"/>
      <c r="C42" s="121"/>
      <c r="D42" s="122"/>
      <c r="E42" s="122"/>
      <c r="F42" s="122"/>
      <c r="G42" s="123"/>
      <c r="H42" s="72" t="b">
        <f>AND(C43="ЗАПОЛНИ",G46=0)</f>
        <v>0</v>
      </c>
      <c r="I42" s="121"/>
      <c r="J42" s="122"/>
      <c r="K42" s="122"/>
      <c r="L42" s="122"/>
      <c r="M42" s="123"/>
      <c r="N42" s="72" t="b">
        <f>AND(I43="ЗАПОЛНИ",M45=0)</f>
        <v>0</v>
      </c>
      <c r="O42" s="105" t="s">
        <v>160</v>
      </c>
      <c r="P42" s="106"/>
      <c r="Q42" s="109"/>
      <c r="R42" s="111" t="str">
        <f>IF(O41="НЕ ЗАПОЛНЯЕТСЯ",IF(Q42&gt;0,"ОШИБКА"," "),IF(OR(AND(Q42="24DC",OR(M36="220DC",M36="230AC",M45="220DC",M45="230AC")),AND(Q42="220DC",OR(M36="24DC",M36="230AC",M45="24DC",M45="230AC")),AND(Q42="230AC",OR(M36="220DC",M36="24DC",M45="220DC",M45="24DC"))),"ОШИБКА должно быть одинаковым"," "))</f>
        <v xml:space="preserve"> </v>
      </c>
    </row>
    <row r="43" spans="2:18" ht="20.100000000000001" customHeight="1" thickTop="1" thickBot="1" x14ac:dyDescent="0.25">
      <c r="B43" s="6"/>
      <c r="C43" s="142" t="str">
        <f>IF(AND(G16="F",K16="A"),"ЗАПОЛНИ","НЕ ЗАПОЛНЯЕТСЯ")</f>
        <v>НЕ ЗАПОЛНЯЕТСЯ</v>
      </c>
      <c r="D43" s="143"/>
      <c r="E43" s="143"/>
      <c r="F43" s="143"/>
      <c r="G43" s="144"/>
      <c r="H43" s="81" t="str">
        <f>IF(C43="ЗАПОЛНИ",IF(AND(OR(G44=0,G44="-"),G46="+"),"ОШИБКА"," ")," ")</f>
        <v xml:space="preserve"> </v>
      </c>
      <c r="I43" s="142" t="str">
        <f>IF(Q16="EB","ЗАПОЛНИ","НЕ ЗАПОЛНЯЕТСЯ")</f>
        <v>НЕ ЗАПОЛНЯЕТСЯ</v>
      </c>
      <c r="J43" s="143"/>
      <c r="K43" s="143"/>
      <c r="L43" s="143"/>
      <c r="M43" s="144"/>
      <c r="N43" s="72" t="b">
        <f>AND(I43="ЗАПОЛНИ",M47=0)</f>
        <v>0</v>
      </c>
      <c r="O43" s="107"/>
      <c r="P43" s="108"/>
      <c r="Q43" s="110"/>
      <c r="R43" s="111"/>
    </row>
    <row r="44" spans="2:18" ht="20.100000000000001" customHeight="1" thickBot="1" x14ac:dyDescent="0.25">
      <c r="B44" s="6"/>
      <c r="C44" s="178" t="s">
        <v>167</v>
      </c>
      <c r="D44" s="179"/>
      <c r="E44" s="179"/>
      <c r="F44" s="179"/>
      <c r="G44" s="183"/>
      <c r="H44" s="126" t="str">
        <f>IF(C43="НЕ ЗАПОЛНЯЕТСЯ",IF(G44&gt;0,"ОШИБКА"," "),IF(AND(G44="-",K16="A"),"см. блок 1 параметр 5"," "))</f>
        <v xml:space="preserve"> </v>
      </c>
      <c r="I44" s="170" t="s">
        <v>86</v>
      </c>
      <c r="J44" s="171"/>
      <c r="K44" s="171"/>
      <c r="L44" s="172"/>
      <c r="M44" s="22"/>
      <c r="N44" s="81" t="str">
        <f>IF(I43="НЕ ЗАПОЛНЯЕТСЯ",IF(M44&lt;&gt;"","ОШИБКА"," ")," ")</f>
        <v xml:space="preserve"> </v>
      </c>
      <c r="O44" s="4"/>
      <c r="P44" s="4"/>
      <c r="Q44" s="7"/>
      <c r="R44" s="76"/>
    </row>
    <row r="45" spans="2:18" ht="20.100000000000001" customHeight="1" thickBot="1" x14ac:dyDescent="0.25">
      <c r="B45" s="6"/>
      <c r="C45" s="180"/>
      <c r="D45" s="181"/>
      <c r="E45" s="181"/>
      <c r="F45" s="181"/>
      <c r="G45" s="173"/>
      <c r="H45" s="126"/>
      <c r="I45" s="166" t="s">
        <v>160</v>
      </c>
      <c r="J45" s="167"/>
      <c r="K45" s="167"/>
      <c r="L45" s="168"/>
      <c r="M45" s="109"/>
      <c r="N45" s="126" t="str">
        <f>IF(I43="НЕ ЗАПОЛНЯЕТСЯ",IF(M45&gt;0,"ОШИБКА"," "),IF(OR(AND(M45="24DC",OR(M36="220DC",M36="230AC",Q42="220DC",Q42="230AC")),AND(M45="220DC",OR(M36="24DC",M36="230AC",Q42="24DC",Q42="230AC")),AND(M45="230AC",OR(M36="220DC",M36="24DC",Q42="220DC",Q42="24DC"))),"ОШИБКА должно быть одинаковым"," "))</f>
        <v xml:space="preserve"> </v>
      </c>
      <c r="O45" s="4"/>
      <c r="P45" s="4"/>
      <c r="Q45" s="7"/>
      <c r="R45" s="76"/>
    </row>
    <row r="46" spans="2:18" ht="20.100000000000001" customHeight="1" thickBot="1" x14ac:dyDescent="0.25">
      <c r="B46" s="6"/>
      <c r="C46" s="180" t="s">
        <v>168</v>
      </c>
      <c r="D46" s="181"/>
      <c r="E46" s="181"/>
      <c r="F46" s="181"/>
      <c r="G46" s="173"/>
      <c r="H46" s="182" t="str">
        <f>IF(C43="НЕ ЗАПОЛНЯЕТСЯ",IF(G46&gt;0,"ОШИБКА"," ")," ")</f>
        <v xml:space="preserve"> </v>
      </c>
      <c r="I46" s="148"/>
      <c r="J46" s="149"/>
      <c r="K46" s="149"/>
      <c r="L46" s="150"/>
      <c r="M46" s="110"/>
      <c r="N46" s="126"/>
      <c r="O46" s="225" t="str">
        <f>IF(AND(I43="ЗАПОЛНИ",N47="ОШИБКА",AND(M47="+",M16="L")),"    Установка механической блокировки на верхний заземлитель (EB) невозможна, при компоновке с двумя заземлителями (E+EB)."&amp;" Когда нижний заземлитель (E) оборудован механичекой блокировкой, ручные привода главных ножей и заземлителей размещаются слева, а главные ножи оснащены моторным приводом."&amp;"
    Рекомендуется изменить расположение ручных приводов на правостороннее (см. блок 1 параметр 7)."&amp;"
    В противном случае, используйте электромагнитную блокировку ручного привода верхнего заземлителя (EB) и навесной замок на ручной привод главных ножей"," ")</f>
        <v xml:space="preserve"> </v>
      </c>
      <c r="P46" s="225"/>
      <c r="Q46" s="225"/>
      <c r="R46" s="226"/>
    </row>
    <row r="47" spans="2:18" ht="20.100000000000001" customHeight="1" thickBot="1" x14ac:dyDescent="0.25">
      <c r="B47" s="6"/>
      <c r="C47" s="180"/>
      <c r="D47" s="181"/>
      <c r="E47" s="181"/>
      <c r="F47" s="181"/>
      <c r="G47" s="173"/>
      <c r="H47" s="182"/>
      <c r="I47" s="145" t="s">
        <v>164</v>
      </c>
      <c r="J47" s="146"/>
      <c r="K47" s="146"/>
      <c r="L47" s="147"/>
      <c r="M47" s="109"/>
      <c r="N47" s="126" t="str">
        <f>IF(I43="НЕ ЗАПОЛНЯЕТСЯ",IF(M47&gt;0,"ОШИБКА"," "),IF(AND(M16="R",M47="+"),"монтируется слева от главных ножей",IF(AND(M16="L",N16="E",P16="NM",M47="+",M38="+"),"ОШИБКА",IF(AND(M16="L",M47="+",OR(P16="HE",N16="_",AND(N16="E",M38="-"))),"монтируется справа от главных ножей"," "))))</f>
        <v xml:space="preserve"> </v>
      </c>
      <c r="O47" s="225"/>
      <c r="P47" s="225"/>
      <c r="Q47" s="225"/>
      <c r="R47" s="226"/>
    </row>
    <row r="48" spans="2:18" ht="20.100000000000001" customHeight="1" thickBot="1" x14ac:dyDescent="0.25">
      <c r="B48" s="6"/>
      <c r="C48" s="40"/>
      <c r="D48" s="9"/>
      <c r="E48" s="9"/>
      <c r="F48" s="7"/>
      <c r="G48" s="7"/>
      <c r="H48" s="81"/>
      <c r="I48" s="148"/>
      <c r="J48" s="149"/>
      <c r="K48" s="149"/>
      <c r="L48" s="150"/>
      <c r="M48" s="110"/>
      <c r="N48" s="126"/>
      <c r="O48" s="225"/>
      <c r="P48" s="225"/>
      <c r="Q48" s="225"/>
      <c r="R48" s="226"/>
    </row>
    <row r="49" spans="2:18" ht="20.100000000000001" customHeight="1" thickTop="1" x14ac:dyDescent="0.2">
      <c r="B49" s="6"/>
      <c r="C49" s="118" t="s">
        <v>63</v>
      </c>
      <c r="D49" s="119"/>
      <c r="E49" s="119"/>
      <c r="F49" s="119"/>
      <c r="G49" s="120"/>
      <c r="H49" s="72"/>
      <c r="I49" s="4"/>
      <c r="J49" s="4"/>
      <c r="K49" s="4"/>
      <c r="L49" s="4"/>
      <c r="M49" s="4"/>
      <c r="N49" s="72"/>
      <c r="O49" s="225"/>
      <c r="P49" s="225"/>
      <c r="Q49" s="225"/>
      <c r="R49" s="226"/>
    </row>
    <row r="50" spans="2:18" ht="20.100000000000001" customHeight="1" thickBot="1" x14ac:dyDescent="0.25">
      <c r="B50" s="6"/>
      <c r="C50" s="121"/>
      <c r="D50" s="122"/>
      <c r="E50" s="122"/>
      <c r="F50" s="122"/>
      <c r="G50" s="123"/>
      <c r="H50" s="72"/>
      <c r="I50" s="4"/>
      <c r="J50" s="4"/>
      <c r="K50" s="4"/>
      <c r="L50" s="4"/>
      <c r="M50" s="4"/>
      <c r="N50" s="4"/>
      <c r="O50" s="4"/>
      <c r="P50" s="4"/>
      <c r="Q50" s="7"/>
      <c r="R50" s="76"/>
    </row>
    <row r="51" spans="2:18" ht="20.100000000000001" customHeight="1" thickTop="1" thickBot="1" x14ac:dyDescent="0.25">
      <c r="B51" s="6"/>
      <c r="C51" s="142" t="str">
        <f>IF(K16="A","ЗАПОЛНИ","НЕ ЗАПОЛНЯЕТСЯ")</f>
        <v>НЕ ЗАПОЛНЯЕТСЯ</v>
      </c>
      <c r="D51" s="143"/>
      <c r="E51" s="143"/>
      <c r="F51" s="143"/>
      <c r="G51" s="144"/>
      <c r="H51" s="81"/>
      <c r="I51" s="4"/>
      <c r="J51" s="4"/>
      <c r="K51" s="4"/>
      <c r="L51" s="4"/>
      <c r="M51" s="4"/>
      <c r="N51" s="4"/>
      <c r="O51" s="4"/>
      <c r="P51" s="4"/>
      <c r="Q51" s="7"/>
      <c r="R51" s="76"/>
    </row>
    <row r="52" spans="2:18" ht="20.100000000000001" customHeight="1" thickTop="1" thickBot="1" x14ac:dyDescent="0.25">
      <c r="B52" s="6"/>
      <c r="C52" s="145" t="s">
        <v>169</v>
      </c>
      <c r="D52" s="146"/>
      <c r="E52" s="146"/>
      <c r="F52" s="147"/>
      <c r="G52" s="177"/>
      <c r="H52" s="169" t="str">
        <f>IF(C51="НЕ ЗАПОЛНЯЕТСЯ",IF(G52&gt;0,"ОШИБКА"," ")," ")</f>
        <v xml:space="preserve"> </v>
      </c>
      <c r="I52" s="4"/>
      <c r="J52" s="4"/>
      <c r="K52" s="4"/>
      <c r="L52" s="4"/>
      <c r="M52" s="4"/>
      <c r="N52" s="4"/>
      <c r="O52" s="124" t="s">
        <v>176</v>
      </c>
      <c r="P52" s="125"/>
      <c r="Q52" s="23"/>
      <c r="R52" s="76"/>
    </row>
    <row r="53" spans="2:18" ht="20.100000000000001" customHeight="1" thickTop="1" thickBot="1" x14ac:dyDescent="0.25">
      <c r="B53" s="6"/>
      <c r="C53" s="148"/>
      <c r="D53" s="149"/>
      <c r="E53" s="149"/>
      <c r="F53" s="150"/>
      <c r="G53" s="110"/>
      <c r="H53" s="169"/>
      <c r="I53" s="4"/>
      <c r="J53" s="4"/>
      <c r="K53" s="4"/>
      <c r="L53" s="4"/>
      <c r="M53" s="4"/>
      <c r="N53" s="4"/>
      <c r="O53" s="86" t="str">
        <f>"( в обязательный комплект поставки входит 1 рычаг )"</f>
        <v>( в обязательный комплект поставки входит 1 рычаг )</v>
      </c>
      <c r="P53" s="7"/>
      <c r="Q53" s="63" t="str">
        <f>IF(Q52="","ЗАПОЛНИ","")</f>
        <v>ЗАПОЛНИ</v>
      </c>
      <c r="R53" s="76"/>
    </row>
    <row r="54" spans="2:18" ht="20.100000000000001" customHeight="1" thickBot="1" x14ac:dyDescent="0.25">
      <c r="B54" s="10"/>
      <c r="C54" s="11"/>
      <c r="D54" s="11"/>
      <c r="E54" s="11"/>
      <c r="F54" s="11"/>
      <c r="G54" s="11"/>
      <c r="H54" s="74"/>
      <c r="I54" s="11"/>
      <c r="J54" s="11"/>
      <c r="K54" s="11"/>
      <c r="L54" s="11"/>
      <c r="M54" s="11"/>
      <c r="N54" s="11"/>
      <c r="O54" s="11"/>
      <c r="P54" s="11"/>
      <c r="Q54" s="11"/>
      <c r="R54" s="78" t="str">
        <f>IF(OR(H34="ОШИБКА",H35="ОШИБКА",H36="ОШИБКА",H37="ОШИБКА",H38="ОШИБКА",H43="ОШИБКА",H44="ОШИБКА",H46="ОШИБКА",H52="ОШИБКА",N35="ОШИБКА",N36="ОШИБКА",N38="ОШИБКА",N44="ОШИБКА",N45="ОШИБКА",N47="ОШИБКА",R35="ОШИБКА"),"ОШИБКА","")</f>
        <v/>
      </c>
    </row>
    <row r="55" spans="2:18" ht="20.100000000000001" customHeight="1" thickTop="1" x14ac:dyDescent="0.2"/>
    <row r="56" spans="2:18" ht="20.100000000000001" customHeight="1" x14ac:dyDescent="0.2"/>
    <row r="57" spans="2:18" ht="20.100000000000001" customHeight="1" x14ac:dyDescent="0.2"/>
    <row r="58" spans="2:18" ht="20.100000000000001" customHeight="1" thickBot="1" x14ac:dyDescent="0.25"/>
    <row r="59" spans="2:18" ht="20.100000000000001" customHeight="1" thickTop="1" x14ac:dyDescent="0.2">
      <c r="B59" s="112" t="s">
        <v>178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4"/>
    </row>
    <row r="60" spans="2:18" ht="20.100000000000001" customHeight="1" thickBot="1" x14ac:dyDescent="0.25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</row>
    <row r="61" spans="2:18" ht="20.100000000000001" customHeight="1" thickTop="1" x14ac:dyDescent="0.2"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9"/>
    </row>
    <row r="62" spans="2:18" ht="20.100000000000001" customHeight="1" x14ac:dyDescent="0.2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9"/>
    </row>
    <row r="63" spans="2:18" ht="20.100000000000001" customHeight="1" x14ac:dyDescent="0.2"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</row>
    <row r="64" spans="2:18" x14ac:dyDescent="0.2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9"/>
    </row>
    <row r="65" spans="2:18" x14ac:dyDescent="0.2"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9"/>
    </row>
    <row r="66" spans="2:18" x14ac:dyDescent="0.2"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9"/>
    </row>
    <row r="67" spans="2:18" x14ac:dyDescent="0.2"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</row>
    <row r="68" spans="2:18" x14ac:dyDescent="0.2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</row>
    <row r="69" spans="2:18" x14ac:dyDescent="0.2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</row>
    <row r="70" spans="2:18" ht="18.75" thickBot="1" x14ac:dyDescent="0.25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2"/>
    </row>
    <row r="71" spans="2:18" ht="18.75" thickTop="1" x14ac:dyDescent="0.2"/>
  </sheetData>
  <sheetProtection algorithmName="SHA-512" hashValue="YdeIhEsLrmGbn6PeAG2oQk50CCZHhQePFNrzQei1dQKukOX5tnb0bNPoJ8TMWnbAdTonWandoqrD2NnK8+r4dQ==" saltValue="2PVQvmyOEB0gdVotzu4Y2g==" spinCount="100000" sheet="1" formatCells="0" formatColumns="0" formatRows="0" insertColumns="0" insertRows="0" insertHyperlinks="0" deleteColumns="0" deleteRows="0" sort="0" autoFilter="0" pivotTables="0"/>
  <dataConsolidate/>
  <mergeCells count="80">
    <mergeCell ref="C7:M7"/>
    <mergeCell ref="B2:R2"/>
    <mergeCell ref="C3:Q3"/>
    <mergeCell ref="C4:Q4"/>
    <mergeCell ref="C5:P5"/>
    <mergeCell ref="C6:N6"/>
    <mergeCell ref="C23:O23"/>
    <mergeCell ref="P23:Q23"/>
    <mergeCell ref="C8:L8"/>
    <mergeCell ref="C9:K9"/>
    <mergeCell ref="C10:J10"/>
    <mergeCell ref="C11:H11"/>
    <mergeCell ref="C12:G12"/>
    <mergeCell ref="C13:F13"/>
    <mergeCell ref="C14:E14"/>
    <mergeCell ref="C15:E15"/>
    <mergeCell ref="C16:E16"/>
    <mergeCell ref="B21:R21"/>
    <mergeCell ref="C22:Q22"/>
    <mergeCell ref="P24:Q24"/>
    <mergeCell ref="B27:R27"/>
    <mergeCell ref="B28:R28"/>
    <mergeCell ref="C30:F30"/>
    <mergeCell ref="C32:G33"/>
    <mergeCell ref="I32:M33"/>
    <mergeCell ref="O32:Q33"/>
    <mergeCell ref="C34:G34"/>
    <mergeCell ref="I34:M34"/>
    <mergeCell ref="O34:Q34"/>
    <mergeCell ref="C35:G35"/>
    <mergeCell ref="I35:L35"/>
    <mergeCell ref="O35:P36"/>
    <mergeCell ref="Q35:Q36"/>
    <mergeCell ref="R35:R36"/>
    <mergeCell ref="C36:E36"/>
    <mergeCell ref="F36:F37"/>
    <mergeCell ref="I36:L37"/>
    <mergeCell ref="M36:M37"/>
    <mergeCell ref="N36:N37"/>
    <mergeCell ref="C37:E37"/>
    <mergeCell ref="O37:P38"/>
    <mergeCell ref="Q37:Q38"/>
    <mergeCell ref="R37:R38"/>
    <mergeCell ref="O39:Q39"/>
    <mergeCell ref="O40:P40"/>
    <mergeCell ref="C41:G42"/>
    <mergeCell ref="I41:M42"/>
    <mergeCell ref="O41:Q41"/>
    <mergeCell ref="O42:P43"/>
    <mergeCell ref="Q42:Q43"/>
    <mergeCell ref="C38:F39"/>
    <mergeCell ref="G38:G39"/>
    <mergeCell ref="H38:H39"/>
    <mergeCell ref="I38:L39"/>
    <mergeCell ref="M38:M39"/>
    <mergeCell ref="N38:N39"/>
    <mergeCell ref="N47:N48"/>
    <mergeCell ref="R42:R43"/>
    <mergeCell ref="C43:G43"/>
    <mergeCell ref="I43:M43"/>
    <mergeCell ref="C44:F45"/>
    <mergeCell ref="G44:G45"/>
    <mergeCell ref="H44:H45"/>
    <mergeCell ref="I44:L44"/>
    <mergeCell ref="I45:L46"/>
    <mergeCell ref="M45:M46"/>
    <mergeCell ref="N45:N46"/>
    <mergeCell ref="C46:F47"/>
    <mergeCell ref="G46:G47"/>
    <mergeCell ref="H46:H47"/>
    <mergeCell ref="I47:L48"/>
    <mergeCell ref="M47:M48"/>
    <mergeCell ref="B59:R60"/>
    <mergeCell ref="C49:G50"/>
    <mergeCell ref="C51:G51"/>
    <mergeCell ref="C52:F53"/>
    <mergeCell ref="G52:G53"/>
    <mergeCell ref="H52:H53"/>
    <mergeCell ref="O52:P52"/>
    <mergeCell ref="O46:R49"/>
  </mergeCells>
  <conditionalFormatting sqref="P23">
    <cfRule type="cellIs" dxfId="251" priority="122" operator="greaterThan">
      <formula>0</formula>
    </cfRule>
  </conditionalFormatting>
  <conditionalFormatting sqref="G16">
    <cfRule type="expression" dxfId="250" priority="105">
      <formula>$G$16=""</formula>
    </cfRule>
    <cfRule type="cellIs" dxfId="249" priority="121" operator="notEqual">
      <formula>""</formula>
    </cfRule>
  </conditionalFormatting>
  <conditionalFormatting sqref="K16">
    <cfRule type="expression" dxfId="248" priority="103">
      <formula>$K$16=""</formula>
    </cfRule>
    <cfRule type="expression" dxfId="247" priority="115" stopIfTrue="1">
      <formula>OR($K$18="рекомендуется тип А",$K$18="рекомендуется тип К")</formula>
    </cfRule>
    <cfRule type="cellIs" dxfId="246" priority="120" operator="notEqual">
      <formula>""</formula>
    </cfRule>
  </conditionalFormatting>
  <conditionalFormatting sqref="M16">
    <cfRule type="expression" dxfId="245" priority="54">
      <formula>$M$16=""</formula>
    </cfRule>
    <cfRule type="expression" dxfId="244" priority="102" stopIfTrue="1">
      <formula>$M$18="рекомендуется правосторонний"</formula>
    </cfRule>
    <cfRule type="cellIs" dxfId="243" priority="119" operator="notEqual">
      <formula>""</formula>
    </cfRule>
  </conditionalFormatting>
  <conditionalFormatting sqref="N16">
    <cfRule type="expression" dxfId="242" priority="101">
      <formula>$N$16=""</formula>
    </cfRule>
    <cfRule type="cellIs" dxfId="241" priority="118" operator="notEqual">
      <formula>""</formula>
    </cfRule>
  </conditionalFormatting>
  <conditionalFormatting sqref="P16">
    <cfRule type="expression" dxfId="240" priority="100">
      <formula>$P$16=""</formula>
    </cfRule>
    <cfRule type="cellIs" dxfId="239" priority="117" operator="notEqual">
      <formula>""</formula>
    </cfRule>
  </conditionalFormatting>
  <conditionalFormatting sqref="J16">
    <cfRule type="expression" dxfId="238" priority="104">
      <formula>$J$16=""</formula>
    </cfRule>
    <cfRule type="cellIs" dxfId="237" priority="116" operator="notEqual">
      <formula>""</formula>
    </cfRule>
  </conditionalFormatting>
  <conditionalFormatting sqref="Q16">
    <cfRule type="expression" dxfId="236" priority="99">
      <formula>$Q$16=""</formula>
    </cfRule>
    <cfRule type="cellIs" dxfId="235" priority="114" operator="notEqual">
      <formula>""</formula>
    </cfRule>
  </conditionalFormatting>
  <conditionalFormatting sqref="C35">
    <cfRule type="expression" dxfId="234" priority="113">
      <formula>$H$35="ОШИБКА"</formula>
    </cfRule>
  </conditionalFormatting>
  <conditionalFormatting sqref="G44">
    <cfRule type="expression" dxfId="233" priority="58">
      <formula>$H$41=TRUE</formula>
    </cfRule>
    <cfRule type="expression" dxfId="232" priority="110" stopIfTrue="1">
      <formula>$H$44="ОШИБКА"</formula>
    </cfRule>
    <cfRule type="cellIs" dxfId="231" priority="111" stopIfTrue="1" operator="equal">
      <formula>"-"</formula>
    </cfRule>
    <cfRule type="cellIs" dxfId="230" priority="112" operator="notEqual">
      <formula>""</formula>
    </cfRule>
  </conditionalFormatting>
  <conditionalFormatting sqref="G46">
    <cfRule type="expression" dxfId="229" priority="107">
      <formula>$H$42=TRUE</formula>
    </cfRule>
    <cfRule type="expression" dxfId="228" priority="108" stopIfTrue="1">
      <formula>OR($H$46="ОШИБКА",AND(OR($G$44=0,$G$44="-"),$G$46="+"))</formula>
    </cfRule>
    <cfRule type="cellIs" dxfId="227" priority="109" operator="notEqual">
      <formula>""</formula>
    </cfRule>
  </conditionalFormatting>
  <conditionalFormatting sqref="P23:Q23">
    <cfRule type="expression" dxfId="226" priority="74" stopIfTrue="1">
      <formula>$R$23="ОШИБКА"</formula>
    </cfRule>
    <cfRule type="expression" dxfId="225" priority="106">
      <formula>$P$23=0</formula>
    </cfRule>
  </conditionalFormatting>
  <conditionalFormatting sqref="C43">
    <cfRule type="expression" dxfId="224" priority="91" stopIfTrue="1">
      <formula>OR($C$43="НЕ ЗАПОЛНЯЕТСЯ",$H$43="ОШИБКА")</formula>
    </cfRule>
    <cfRule type="expression" dxfId="223" priority="92">
      <formula>AND($C$43="ЗАПОЛНИ",OR($G$44="",$G$46=""))</formula>
    </cfRule>
    <cfRule type="expression" dxfId="222" priority="123">
      <formula>AND($C$43="ЗАПОЛНИ",$G$44&lt;&gt;"",$G$46&lt;&gt;"")</formula>
    </cfRule>
  </conditionalFormatting>
  <conditionalFormatting sqref="G38">
    <cfRule type="expression" dxfId="221" priority="96" stopIfTrue="1">
      <formula>$H$38="ОШИБКА"</formula>
    </cfRule>
    <cfRule type="cellIs" dxfId="220" priority="97" stopIfTrue="1" operator="notEqual">
      <formula>""</formula>
    </cfRule>
    <cfRule type="expression" dxfId="219" priority="98">
      <formula>$C$34="ЗАПОЛНИ"</formula>
    </cfRule>
  </conditionalFormatting>
  <conditionalFormatting sqref="G30">
    <cfRule type="expression" dxfId="218" priority="94">
      <formula>$G$30=""</formula>
    </cfRule>
    <cfRule type="cellIs" dxfId="217" priority="95" operator="notEqual">
      <formula>""</formula>
    </cfRule>
  </conditionalFormatting>
  <conditionalFormatting sqref="G31">
    <cfRule type="expression" dxfId="216" priority="93">
      <formula>$G$31=0</formula>
    </cfRule>
  </conditionalFormatting>
  <conditionalFormatting sqref="M35">
    <cfRule type="expression" dxfId="215" priority="88" stopIfTrue="1">
      <formula>$N$35="ОШИБКА"</formula>
    </cfRule>
    <cfRule type="cellIs" dxfId="214" priority="89" operator="notEqual">
      <formula>""</formula>
    </cfRule>
    <cfRule type="expression" dxfId="213" priority="90">
      <formula>$N$32=TRUE</formula>
    </cfRule>
  </conditionalFormatting>
  <conditionalFormatting sqref="M31">
    <cfRule type="expression" dxfId="212" priority="87">
      <formula>$M$31=0</formula>
    </cfRule>
  </conditionalFormatting>
  <conditionalFormatting sqref="G52">
    <cfRule type="expression" dxfId="211" priority="78" stopIfTrue="1">
      <formula>$H$52="ОШИБКА"</formula>
    </cfRule>
    <cfRule type="cellIs" dxfId="210" priority="79" stopIfTrue="1" operator="notEqual">
      <formula>""</formula>
    </cfRule>
    <cfRule type="expression" dxfId="209" priority="80">
      <formula>$C$51="ЗАПОЛНИ"</formula>
    </cfRule>
  </conditionalFormatting>
  <conditionalFormatting sqref="M36">
    <cfRule type="expression" dxfId="208" priority="75" stopIfTrue="1">
      <formula>$N$36="ОШИБКА"</formula>
    </cfRule>
    <cfRule type="cellIs" dxfId="207" priority="76" operator="notEqual">
      <formula>""</formula>
    </cfRule>
    <cfRule type="expression" dxfId="206" priority="77">
      <formula>$N$33=TRUE</formula>
    </cfRule>
  </conditionalFormatting>
  <conditionalFormatting sqref="I34">
    <cfRule type="expression" dxfId="205" priority="124" stopIfTrue="1">
      <formula>$I$34="НЕ ЗАПОЛНЯЕТСЯ"</formula>
    </cfRule>
    <cfRule type="expression" dxfId="204" priority="125">
      <formula>AND($I$34="ЗАПОЛНИ",OR($M$35="",$M$36="",$M$38=""))</formula>
    </cfRule>
    <cfRule type="expression" dxfId="203" priority="126">
      <formula>AND($I$34="ЗАПОЛНИ",$M$35&lt;&gt;"",$M$36&lt;&gt;"",$M$38&lt;&gt;"")</formula>
    </cfRule>
  </conditionalFormatting>
  <conditionalFormatting sqref="C51">
    <cfRule type="expression" dxfId="202" priority="127" stopIfTrue="1">
      <formula>$C$51="НЕ ЗАПОЛНЯЕТСЯ"</formula>
    </cfRule>
    <cfRule type="expression" dxfId="201" priority="128">
      <formula>AND($C$51="ЗАПОЛНИ",$G$52="")</formula>
    </cfRule>
    <cfRule type="expression" dxfId="200" priority="129">
      <formula>AND($C$51="ЗАПОЛНИ",$G$52&lt;&gt;"")</formula>
    </cfRule>
  </conditionalFormatting>
  <conditionalFormatting sqref="C34">
    <cfRule type="expression" dxfId="199" priority="130" stopIfTrue="1">
      <formula>$C$34="НЕ ЗАПОЛНЯЕТСЯ"</formula>
    </cfRule>
    <cfRule type="expression" dxfId="198" priority="131">
      <formula>AND($C$34="ЗАПОЛНИ",$G$38="")</formula>
    </cfRule>
    <cfRule type="expression" dxfId="197" priority="132">
      <formula>AND($C$34="ЗАПОЛНИ",$G$38&lt;&gt;"")</formula>
    </cfRule>
  </conditionalFormatting>
  <conditionalFormatting sqref="M44">
    <cfRule type="expression" dxfId="196" priority="71" stopIfTrue="1">
      <formula>$N$44="ОШИБКА"</formula>
    </cfRule>
    <cfRule type="cellIs" dxfId="195" priority="72" operator="notEqual">
      <formula>""</formula>
    </cfRule>
    <cfRule type="expression" dxfId="194" priority="73">
      <formula>$N$41=TRUE</formula>
    </cfRule>
  </conditionalFormatting>
  <conditionalFormatting sqref="M45">
    <cfRule type="expression" dxfId="193" priority="68" stopIfTrue="1">
      <formula>$N$45="ОШИБКА"</formula>
    </cfRule>
    <cfRule type="cellIs" dxfId="192" priority="69" operator="notEqual">
      <formula>""</formula>
    </cfRule>
    <cfRule type="expression" dxfId="191" priority="70">
      <formula>$N$42=TRUE</formula>
    </cfRule>
  </conditionalFormatting>
  <conditionalFormatting sqref="I43">
    <cfRule type="expression" dxfId="190" priority="65" stopIfTrue="1">
      <formula>$I$43="НЕ ЗАПОЛНЯЕТСЯ"</formula>
    </cfRule>
    <cfRule type="expression" dxfId="189" priority="66">
      <formula>AND($I$43="ЗАПОЛНИ",OR($M$44="",$M$45="",$M$47=""))</formula>
    </cfRule>
    <cfRule type="expression" dxfId="188" priority="67">
      <formula>AND($I$43="ЗАПОЛНИ",$M$44&lt;&gt;"",$M$45&lt;&gt;"",$M$47&lt;&gt;"")</formula>
    </cfRule>
  </conditionalFormatting>
  <conditionalFormatting sqref="M38">
    <cfRule type="expression" dxfId="187" priority="62" stopIfTrue="1">
      <formula>$N$38="ОШИБКА"</formula>
    </cfRule>
    <cfRule type="cellIs" dxfId="186" priority="63" operator="notEqual">
      <formula>""</formula>
    </cfRule>
    <cfRule type="expression" dxfId="185" priority="64">
      <formula>$N$34=TRUE</formula>
    </cfRule>
  </conditionalFormatting>
  <conditionalFormatting sqref="M47">
    <cfRule type="expression" dxfId="184" priority="59" stopIfTrue="1">
      <formula>$N$47="ОШИБКА"</formula>
    </cfRule>
    <cfRule type="cellIs" dxfId="183" priority="60" operator="notEqual">
      <formula>""</formula>
    </cfRule>
    <cfRule type="expression" dxfId="182" priority="61">
      <formula>$N$43=TRUE</formula>
    </cfRule>
  </conditionalFormatting>
  <conditionalFormatting sqref="Q37">
    <cfRule type="expression" dxfId="181" priority="55">
      <formula>$R$33=TRUE</formula>
    </cfRule>
    <cfRule type="expression" dxfId="180" priority="56" stopIfTrue="1">
      <formula>$R$37="ОШИБКА"</formula>
    </cfRule>
    <cfRule type="cellIs" dxfId="179" priority="57" operator="notEqual">
      <formula>""</formula>
    </cfRule>
  </conditionalFormatting>
  <conditionalFormatting sqref="H44">
    <cfRule type="expression" dxfId="178" priority="53">
      <formula>OR($H$44="см. блок 1 параметр 5",$H$44="ОШИБКА")</formula>
    </cfRule>
  </conditionalFormatting>
  <conditionalFormatting sqref="K18">
    <cfRule type="expression" dxfId="177" priority="52">
      <formula>$K$18="рекомендуется тип К, см. блок 3"</formula>
    </cfRule>
  </conditionalFormatting>
  <conditionalFormatting sqref="N36">
    <cfRule type="expression" dxfId="176" priority="38">
      <formula>OR($N$45="ОШИБКА",$R$42="ОШИБКА")</formula>
    </cfRule>
    <cfRule type="expression" dxfId="175" priority="51">
      <formula>OR($N$36="ОШИБКА должно быть одинаковым",$N$36="ОШИБКА")</formula>
    </cfRule>
  </conditionalFormatting>
  <conditionalFormatting sqref="H38">
    <cfRule type="cellIs" dxfId="172" priority="49" operator="equal">
      <formula>"ОШИБКА"</formula>
    </cfRule>
  </conditionalFormatting>
  <conditionalFormatting sqref="H43">
    <cfRule type="cellIs" dxfId="171" priority="48" operator="equal">
      <formula>"ОШИБКА"</formula>
    </cfRule>
  </conditionalFormatting>
  <conditionalFormatting sqref="H46">
    <cfRule type="cellIs" dxfId="170" priority="47" operator="equal">
      <formula>"ОШИБКА"</formula>
    </cfRule>
  </conditionalFormatting>
  <conditionalFormatting sqref="H52">
    <cfRule type="cellIs" dxfId="169" priority="46" operator="equal">
      <formula>"ОШИБКА"</formula>
    </cfRule>
  </conditionalFormatting>
  <conditionalFormatting sqref="N35">
    <cfRule type="cellIs" dxfId="168" priority="45" operator="equal">
      <formula>"ОШИБКА"</formula>
    </cfRule>
  </conditionalFormatting>
  <conditionalFormatting sqref="N38">
    <cfRule type="cellIs" dxfId="167" priority="44" operator="equal">
      <formula>"ОШИБКА"</formula>
    </cfRule>
  </conditionalFormatting>
  <conditionalFormatting sqref="N44">
    <cfRule type="cellIs" dxfId="166" priority="43" operator="equal">
      <formula>"ОШИБКА"</formula>
    </cfRule>
  </conditionalFormatting>
  <conditionalFormatting sqref="R37:R38">
    <cfRule type="cellIs" dxfId="164" priority="40" operator="equal">
      <formula>"ОШИБКА"</formula>
    </cfRule>
  </conditionalFormatting>
  <conditionalFormatting sqref="Q52">
    <cfRule type="expression" dxfId="163" priority="36">
      <formula>$Q$52=""</formula>
    </cfRule>
    <cfRule type="cellIs" dxfId="162" priority="37" operator="notEqual">
      <formula>""</formula>
    </cfRule>
  </conditionalFormatting>
  <conditionalFormatting sqref="Q53">
    <cfRule type="expression" dxfId="161" priority="35">
      <formula>$Q$53=0</formula>
    </cfRule>
  </conditionalFormatting>
  <conditionalFormatting sqref="R40">
    <cfRule type="cellIs" dxfId="160" priority="34" operator="equal">
      <formula>"ОШИБКА"</formula>
    </cfRule>
  </conditionalFormatting>
  <conditionalFormatting sqref="O39">
    <cfRule type="expression" dxfId="159" priority="31" stopIfTrue="1">
      <formula>$O$39="НЕ ЗАПОЛНЯЕТСЯ"</formula>
    </cfRule>
    <cfRule type="expression" dxfId="158" priority="32">
      <formula>AND($O$39="ЗАПОЛНИ",$Q$40="")</formula>
    </cfRule>
    <cfRule type="expression" dxfId="157" priority="33">
      <formula>AND($O$39="ЗАПОЛНИ",$Q$40&lt;&gt;"")</formula>
    </cfRule>
  </conditionalFormatting>
  <conditionalFormatting sqref="Q42">
    <cfRule type="expression" dxfId="156" priority="28" stopIfTrue="1">
      <formula>$R$42="ОШИБКА"</formula>
    </cfRule>
    <cfRule type="cellIs" dxfId="155" priority="29" operator="notEqual">
      <formula>""</formula>
    </cfRule>
    <cfRule type="expression" dxfId="154" priority="30">
      <formula>$R$41=TRUE</formula>
    </cfRule>
  </conditionalFormatting>
  <conditionalFormatting sqref="Q40">
    <cfRule type="expression" dxfId="153" priority="25" stopIfTrue="1">
      <formula>$R$40="ОШИБКА"</formula>
    </cfRule>
    <cfRule type="cellIs" dxfId="152" priority="26" operator="notEqual">
      <formula>""</formula>
    </cfRule>
    <cfRule type="expression" dxfId="151" priority="27">
      <formula>$R$39=TRUE</formula>
    </cfRule>
  </conditionalFormatting>
  <conditionalFormatting sqref="R42">
    <cfRule type="expression" dxfId="150" priority="23">
      <formula>OR($N$45="ОШИБКА",$N$36="ОШИБКА")</formula>
    </cfRule>
    <cfRule type="expression" dxfId="149" priority="24">
      <formula>OR($R$42="ОШИБКА должно быть одинаковым",$R$42="ОШИБКА")</formula>
    </cfRule>
  </conditionalFormatting>
  <conditionalFormatting sqref="O41">
    <cfRule type="expression" dxfId="148" priority="20" stopIfTrue="1">
      <formula>$O$41="НЕ ЗАПОЛНЯЕТСЯ"</formula>
    </cfRule>
    <cfRule type="expression" dxfId="147" priority="21">
      <formula>AND($O$41="ЗАПОЛНИ",$Q$42="")</formula>
    </cfRule>
    <cfRule type="expression" dxfId="146" priority="22">
      <formula>AND($O$41="ЗАПОЛНИ",$Q$42&lt;&gt;"")</formula>
    </cfRule>
  </conditionalFormatting>
  <conditionalFormatting sqref="A1:E25">
    <cfRule type="expression" priority="18">
      <formula>OR($H$38="ОШИБКА",$H$43="ОШИБКА")</formula>
    </cfRule>
    <cfRule type="expression" priority="19">
      <formula>OR($R$35="ОШИБКА")</formula>
    </cfRule>
  </conditionalFormatting>
  <conditionalFormatting sqref="O34">
    <cfRule type="expression" dxfId="13" priority="5" stopIfTrue="1">
      <formula>OR($O$34="НЕ ЗАПОЛНЯЕТСЯ",$R$37="ОШИБКА")</formula>
    </cfRule>
    <cfRule type="expression" dxfId="12" priority="6">
      <formula>AND($O$34="ЗАПОЛНИ",$Q$37="")</formula>
    </cfRule>
    <cfRule type="expression" dxfId="11" priority="7">
      <formula>AND($O$34="ЗАПОЛНИ",$Q$37&lt;&gt;"")</formula>
    </cfRule>
  </conditionalFormatting>
  <conditionalFormatting sqref="R35">
    <cfRule type="cellIs" dxfId="10" priority="4" operator="equal">
      <formula>"ОШИБКА"</formula>
    </cfRule>
  </conditionalFormatting>
  <conditionalFormatting sqref="N45">
    <cfRule type="expression" dxfId="5" priority="1">
      <formula>OR($N$36="ОШИБКА",$R$42="ОШИБКА")</formula>
    </cfRule>
    <cfRule type="expression" dxfId="4" priority="3">
      <formula>OR($N$45="ОШИБКА должно быть одинаковым",$N$45="ОШИБКА")</formula>
    </cfRule>
  </conditionalFormatting>
  <conditionalFormatting sqref="N47">
    <cfRule type="cellIs" dxfId="3" priority="2" operator="equal">
      <formula>"ОШИБКА"</formula>
    </cfRule>
  </conditionalFormatting>
  <dataValidations disablePrompts="1" count="1">
    <dataValidation type="list" allowBlank="1" showInputMessage="1" showErrorMessage="1" sqref="G48">
      <formula1>$D$36:$D$49</formula1>
    </dataValidation>
  </dataValidations>
  <pageMargins left="0.7" right="0.7" top="0.75" bottom="0.75" header="0.3" footer="0.3"/>
  <pageSetup paperSize="9" scale="30" orientation="portrait" r:id="rId1"/>
  <rowBreaks count="1" manualBreakCount="1">
    <brk id="25" max="18" man="1"/>
  </rowBreaks>
  <ignoredErrors>
    <ignoredError sqref="R4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0">
        <x14:dataValidation type="list" allowBlank="1" showInputMessage="1" showErrorMessage="1">
          <x14:formula1>
            <xm:f>'-'!$E$67:$E$73</xm:f>
          </x14:formula1>
          <xm:sqref>Q52</xm:sqref>
        </x14:dataValidation>
        <x14:dataValidation type="list" allowBlank="1" showInputMessage="1" showErrorMessage="1">
          <x14:formula1>
            <xm:f>'-'!$E$5:$E$8</xm:f>
          </x14:formula1>
          <xm:sqref>G30</xm:sqref>
        </x14:dataValidation>
        <x14:dataValidation type="list" allowBlank="1" showInputMessage="1" showErrorMessage="1">
          <x14:formula1>
            <xm:f>'-'!$E$61:$E$63</xm:f>
          </x14:formula1>
          <xm:sqref>M38 M47</xm:sqref>
        </x14:dataValidation>
        <x14:dataValidation type="list" allowBlank="1" showInputMessage="1" showErrorMessage="1">
          <x14:formula1>
            <xm:f>'-'!$E$26:$E$39</xm:f>
          </x14:formula1>
          <xm:sqref>G38</xm:sqref>
        </x14:dataValidation>
        <x14:dataValidation type="list" allowBlank="1" showInputMessage="1" showErrorMessage="1">
          <x14:formula1>
            <xm:f>'-'!$E$27:$E$39</xm:f>
          </x14:formula1>
          <xm:sqref>G40</xm:sqref>
        </x14:dataValidation>
        <x14:dataValidation type="list" allowBlank="1" showInputMessage="1" showErrorMessage="1">
          <x14:formula1>
            <xm:f>'-'!$E$49:$E$52</xm:f>
          </x14:formula1>
          <xm:sqref>M44</xm:sqref>
        </x14:dataValidation>
        <x14:dataValidation type="list" allowBlank="1" showInputMessage="1" showErrorMessage="1">
          <x14:formula1>
            <xm:f>'-'!$E$56:$E$60</xm:f>
          </x14:formula1>
          <xm:sqref>M36 Q42 M45</xm:sqref>
        </x14:dataValidation>
        <x14:dataValidation type="list" allowBlank="1" showInputMessage="1" showErrorMessage="1">
          <x14:formula1>
            <xm:f>'-'!$E$53:$E$55</xm:f>
          </x14:formula1>
          <xm:sqref>Q37</xm:sqref>
        </x14:dataValidation>
        <x14:dataValidation type="list" allowBlank="1" showInputMessage="1" showErrorMessage="1">
          <x14:formula1>
            <xm:f>'-'!$E$1:$E$3</xm:f>
          </x14:formula1>
          <xm:sqref>G16</xm:sqref>
        </x14:dataValidation>
        <x14:dataValidation type="list" allowBlank="1" showInputMessage="1" showErrorMessage="1">
          <x14:formula1>
            <xm:f>'-'!$H$1:$H$3</xm:f>
          </x14:formula1>
          <xm:sqref>J16</xm:sqref>
        </x14:dataValidation>
        <x14:dataValidation type="list" allowBlank="1" showInputMessage="1" showErrorMessage="1">
          <x14:formula1>
            <xm:f>'-'!$I$1:$I$3</xm:f>
          </x14:formula1>
          <xm:sqref>K16</xm:sqref>
        </x14:dataValidation>
        <x14:dataValidation type="list" allowBlank="1" showInputMessage="1" showErrorMessage="1">
          <x14:formula1>
            <xm:f>'-'!$K$1:$K$3</xm:f>
          </x14:formula1>
          <xm:sqref>M16</xm:sqref>
        </x14:dataValidation>
        <x14:dataValidation type="list" allowBlank="1" showInputMessage="1" showErrorMessage="1">
          <x14:formula1>
            <xm:f>'-'!$L$1:$L$3</xm:f>
          </x14:formula1>
          <xm:sqref>N16</xm:sqref>
        </x14:dataValidation>
        <x14:dataValidation type="list" allowBlank="1" showInputMessage="1" showErrorMessage="1">
          <x14:formula1>
            <xm:f>'-'!$N$1:$N$3</xm:f>
          </x14:formula1>
          <xm:sqref>P16</xm:sqref>
        </x14:dataValidation>
        <x14:dataValidation type="list" allowBlank="1" showInputMessage="1" showErrorMessage="1">
          <x14:formula1>
            <xm:f>'-'!$O$1:$O$3</xm:f>
          </x14:formula1>
          <xm:sqref>Q16</xm:sqref>
        </x14:dataValidation>
        <x14:dataValidation type="list" allowBlank="1" showInputMessage="1" showErrorMessage="1">
          <x14:formula1>
            <xm:f>'-'!$E$20:$E$22</xm:f>
          </x14:formula1>
          <xm:sqref>G44</xm:sqref>
        </x14:dataValidation>
        <x14:dataValidation type="list" allowBlank="1" showInputMessage="1" showErrorMessage="1">
          <x14:formula1>
            <xm:f>'-'!$E$23:$E$25</xm:f>
          </x14:formula1>
          <xm:sqref>G46</xm:sqref>
        </x14:dataValidation>
        <x14:dataValidation type="list" allowBlank="1" showInputMessage="1" showErrorMessage="1">
          <x14:formula1>
            <xm:f>'-'!$E$40:$E$44</xm:f>
          </x14:formula1>
          <xm:sqref>G52</xm:sqref>
        </x14:dataValidation>
        <x14:dataValidation type="list" allowBlank="1" showInputMessage="1" showErrorMessage="1">
          <x14:formula1>
            <xm:f>'-'!$E$45:$E$48</xm:f>
          </x14:formula1>
          <xm:sqref>M35</xm:sqref>
        </x14:dataValidation>
        <x14:dataValidation type="list" allowBlank="1" showInputMessage="1" showErrorMessage="1">
          <x14:formula1>
            <xm:f>'-'!$E$9:$E$12</xm:f>
          </x14:formula1>
          <xm:sqref>Q40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="70" zoomScaleNormal="70" zoomScaleSheetLayoutView="85" zoomScalePageLayoutView="40" workbookViewId="0">
      <selection activeCell="B2" sqref="B2:R2"/>
    </sheetView>
  </sheetViews>
  <sheetFormatPr defaultRowHeight="18" x14ac:dyDescent="0.2"/>
  <cols>
    <col min="1" max="1" width="9.33203125" style="16"/>
    <col min="2" max="2" width="15.83203125" style="16" customWidth="1"/>
    <col min="3" max="3" width="10.83203125" style="16" customWidth="1"/>
    <col min="4" max="4" width="15.83203125" style="16" customWidth="1"/>
    <col min="5" max="5" width="30.83203125" style="16" customWidth="1"/>
    <col min="6" max="6" width="15.83203125" style="16" customWidth="1"/>
    <col min="7" max="7" width="20.83203125" style="16" customWidth="1"/>
    <col min="8" max="8" width="15.83203125" style="16" customWidth="1"/>
    <col min="9" max="9" width="10.83203125" style="16" customWidth="1"/>
    <col min="10" max="10" width="15.83203125" style="16" customWidth="1"/>
    <col min="11" max="11" width="30.83203125" style="16" customWidth="1"/>
    <col min="12" max="12" width="15.83203125" style="16" customWidth="1"/>
    <col min="13" max="13" width="20.83203125" style="16" customWidth="1"/>
    <col min="14" max="14" width="15.83203125" style="16" customWidth="1"/>
    <col min="15" max="15" width="10.83203125" style="16" customWidth="1"/>
    <col min="16" max="16" width="60.83203125" style="16" customWidth="1"/>
    <col min="17" max="17" width="20.83203125" style="16" customWidth="1"/>
    <col min="18" max="18" width="15.83203125" style="16" customWidth="1"/>
    <col min="19" max="16384" width="9.33203125" style="16"/>
  </cols>
  <sheetData>
    <row r="1" spans="1:18" ht="18.75" thickBot="1" x14ac:dyDescent="0.25"/>
    <row r="2" spans="1:18" ht="30" customHeight="1" thickTop="1" thickBot="1" x14ac:dyDescent="0.25">
      <c r="B2" s="184" t="s">
        <v>79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6"/>
    </row>
    <row r="3" spans="1:18" ht="18.75" thickTop="1" x14ac:dyDescent="0.2">
      <c r="B3" s="32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33"/>
    </row>
    <row r="4" spans="1:18" ht="20.100000000000001" customHeight="1" x14ac:dyDescent="0.2">
      <c r="A4" s="28"/>
      <c r="B4" s="36"/>
      <c r="C4" s="153" t="s">
        <v>166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1"/>
      <c r="R4" s="39"/>
    </row>
    <row r="5" spans="1:18" ht="20.100000000000001" customHeight="1" x14ac:dyDescent="0.2">
      <c r="A5" s="28"/>
      <c r="B5" s="36"/>
      <c r="C5" s="154" t="s">
        <v>69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82"/>
      <c r="R5" s="39"/>
    </row>
    <row r="6" spans="1:18" ht="20.100000000000001" customHeight="1" x14ac:dyDescent="0.2">
      <c r="A6" s="28"/>
      <c r="B6" s="36"/>
      <c r="C6" s="151" t="s">
        <v>165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24"/>
      <c r="P6" s="20"/>
      <c r="Q6" s="82"/>
      <c r="R6" s="39"/>
    </row>
    <row r="7" spans="1:18" ht="20.100000000000001" customHeight="1" x14ac:dyDescent="0.2">
      <c r="A7" s="28"/>
      <c r="B7" s="36"/>
      <c r="C7" s="151" t="s">
        <v>174</v>
      </c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20"/>
      <c r="O7" s="25"/>
      <c r="P7" s="20"/>
      <c r="Q7" s="82"/>
      <c r="R7" s="39"/>
    </row>
    <row r="8" spans="1:18" ht="20.100000000000001" customHeight="1" x14ac:dyDescent="0.2">
      <c r="A8" s="28"/>
      <c r="B8" s="36"/>
      <c r="C8" s="151" t="s">
        <v>50</v>
      </c>
      <c r="D8" s="151"/>
      <c r="E8" s="151"/>
      <c r="F8" s="151"/>
      <c r="G8" s="151"/>
      <c r="H8" s="151"/>
      <c r="I8" s="151"/>
      <c r="J8" s="151"/>
      <c r="K8" s="151"/>
      <c r="L8" s="152"/>
      <c r="M8" s="20"/>
      <c r="N8" s="20"/>
      <c r="O8" s="25"/>
      <c r="P8" s="20"/>
      <c r="Q8" s="82"/>
      <c r="R8" s="39"/>
    </row>
    <row r="9" spans="1:18" ht="20.100000000000001" customHeight="1" x14ac:dyDescent="0.2">
      <c r="A9" s="28"/>
      <c r="B9" s="36"/>
      <c r="C9" s="151" t="s">
        <v>71</v>
      </c>
      <c r="D9" s="151"/>
      <c r="E9" s="151"/>
      <c r="F9" s="151"/>
      <c r="G9" s="151"/>
      <c r="H9" s="151"/>
      <c r="I9" s="151"/>
      <c r="J9" s="151"/>
      <c r="K9" s="152"/>
      <c r="L9" s="20"/>
      <c r="M9" s="20"/>
      <c r="N9" s="20"/>
      <c r="O9" s="25"/>
      <c r="P9" s="20"/>
      <c r="Q9" s="82"/>
      <c r="R9" s="39"/>
    </row>
    <row r="10" spans="1:18" ht="20.100000000000001" customHeight="1" x14ac:dyDescent="0.2">
      <c r="A10" s="28"/>
      <c r="B10" s="36"/>
      <c r="C10" s="151" t="s">
        <v>73</v>
      </c>
      <c r="D10" s="151"/>
      <c r="E10" s="151"/>
      <c r="F10" s="151"/>
      <c r="G10" s="151"/>
      <c r="H10" s="151"/>
      <c r="I10" s="151"/>
      <c r="J10" s="152"/>
      <c r="K10" s="20"/>
      <c r="L10" s="20"/>
      <c r="M10" s="20"/>
      <c r="N10" s="20"/>
      <c r="O10" s="25"/>
      <c r="P10" s="20"/>
      <c r="Q10" s="82"/>
      <c r="R10" s="39"/>
    </row>
    <row r="11" spans="1:18" ht="20.100000000000001" customHeight="1" x14ac:dyDescent="0.2">
      <c r="A11" s="28"/>
      <c r="B11" s="36"/>
      <c r="C11" s="151" t="s">
        <v>74</v>
      </c>
      <c r="D11" s="151"/>
      <c r="E11" s="151"/>
      <c r="F11" s="151"/>
      <c r="G11" s="151"/>
      <c r="H11" s="152"/>
      <c r="I11" s="24"/>
      <c r="J11" s="19"/>
      <c r="K11" s="20"/>
      <c r="L11" s="20"/>
      <c r="M11" s="20"/>
      <c r="N11" s="20"/>
      <c r="O11" s="25"/>
      <c r="P11" s="20"/>
      <c r="Q11" s="82"/>
      <c r="R11" s="39"/>
    </row>
    <row r="12" spans="1:18" ht="20.100000000000001" customHeight="1" x14ac:dyDescent="0.2">
      <c r="A12" s="28"/>
      <c r="B12" s="36"/>
      <c r="C12" s="151" t="s">
        <v>72</v>
      </c>
      <c r="D12" s="151"/>
      <c r="E12" s="151"/>
      <c r="F12" s="151"/>
      <c r="G12" s="152"/>
      <c r="H12" s="19"/>
      <c r="I12" s="25"/>
      <c r="J12" s="19"/>
      <c r="K12" s="20"/>
      <c r="L12" s="20"/>
      <c r="M12" s="20"/>
      <c r="N12" s="20"/>
      <c r="O12" s="25"/>
      <c r="P12" s="20"/>
      <c r="Q12" s="82"/>
      <c r="R12" s="39"/>
    </row>
    <row r="13" spans="1:18" ht="20.100000000000001" customHeight="1" x14ac:dyDescent="0.2">
      <c r="A13" s="28"/>
      <c r="B13" s="36"/>
      <c r="C13" s="151" t="s">
        <v>51</v>
      </c>
      <c r="D13" s="151"/>
      <c r="E13" s="151"/>
      <c r="F13" s="152"/>
      <c r="G13" s="20"/>
      <c r="H13" s="20"/>
      <c r="I13" s="25"/>
      <c r="J13" s="19"/>
      <c r="K13" s="20"/>
      <c r="L13" s="20"/>
      <c r="M13" s="20"/>
      <c r="N13" s="20"/>
      <c r="O13" s="25"/>
      <c r="P13" s="20"/>
      <c r="Q13" s="82"/>
      <c r="R13" s="39"/>
    </row>
    <row r="14" spans="1:18" ht="20.100000000000001" customHeight="1" x14ac:dyDescent="0.2">
      <c r="B14" s="36"/>
      <c r="C14" s="130"/>
      <c r="D14" s="130"/>
      <c r="E14" s="131"/>
      <c r="F14" s="13"/>
      <c r="G14" s="13"/>
      <c r="H14" s="13"/>
      <c r="I14" s="26"/>
      <c r="J14" s="13"/>
      <c r="K14" s="15"/>
      <c r="L14" s="13"/>
      <c r="M14" s="14"/>
      <c r="N14" s="13"/>
      <c r="O14" s="27"/>
      <c r="P14" s="21"/>
      <c r="Q14" s="37"/>
      <c r="R14" s="39"/>
    </row>
    <row r="15" spans="1:18" ht="20.100000000000001" customHeight="1" thickBot="1" x14ac:dyDescent="0.25">
      <c r="B15" s="36"/>
      <c r="C15" s="132" t="s">
        <v>52</v>
      </c>
      <c r="D15" s="132"/>
      <c r="E15" s="133"/>
      <c r="F15" s="30">
        <v>1</v>
      </c>
      <c r="G15" s="30">
        <v>2</v>
      </c>
      <c r="H15" s="30">
        <v>3</v>
      </c>
      <c r="I15" s="30" t="s">
        <v>36</v>
      </c>
      <c r="J15" s="30">
        <v>4</v>
      </c>
      <c r="K15" s="30">
        <v>5</v>
      </c>
      <c r="L15" s="30">
        <v>6</v>
      </c>
      <c r="M15" s="30">
        <v>7</v>
      </c>
      <c r="N15" s="30">
        <v>8</v>
      </c>
      <c r="O15" s="30" t="s">
        <v>36</v>
      </c>
      <c r="P15" s="30">
        <v>9</v>
      </c>
      <c r="Q15" s="38">
        <v>10</v>
      </c>
      <c r="R15" s="39"/>
    </row>
    <row r="16" spans="1:18" ht="20.100000000000001" customHeight="1" thickBot="1" x14ac:dyDescent="0.25">
      <c r="B16" s="6"/>
      <c r="C16" s="134" t="s">
        <v>39</v>
      </c>
      <c r="D16" s="135"/>
      <c r="E16" s="136"/>
      <c r="F16" s="101" t="s">
        <v>40</v>
      </c>
      <c r="G16" s="31"/>
      <c r="H16" s="101">
        <v>12</v>
      </c>
      <c r="I16" s="102" t="s">
        <v>36</v>
      </c>
      <c r="J16" s="31"/>
      <c r="K16" s="31"/>
      <c r="L16" s="101">
        <v>170</v>
      </c>
      <c r="M16" s="31"/>
      <c r="N16" s="31"/>
      <c r="O16" s="101" t="s">
        <v>36</v>
      </c>
      <c r="P16" s="31"/>
      <c r="Q16" s="80"/>
      <c r="R16" s="34"/>
    </row>
    <row r="17" spans="2:18" ht="20.100000000000001" customHeight="1" x14ac:dyDescent="0.2">
      <c r="B17" s="6"/>
      <c r="C17" s="7"/>
      <c r="D17" s="7"/>
      <c r="E17" s="7"/>
      <c r="F17" s="7"/>
      <c r="G17" s="9" t="str">
        <f>IF(G16="F","ЕСТЬ",IF(G16="_","НЕТ","ЗАПОЛНИ"))</f>
        <v>ЗАПОЛНИ</v>
      </c>
      <c r="H17" s="29"/>
      <c r="I17" s="29"/>
      <c r="J17" s="9" t="str">
        <f>IF(J16=6,"630",IF(J16=4,"400","ЗАПОЛНИ"))</f>
        <v>ЗАПОЛНИ</v>
      </c>
      <c r="K17" s="9" t="str">
        <f>IF(G16=0,IF(K16="A","2-пружинный",IF(K16="K","1-пружинный","ЗАПОЛНИ")),IF(G16="_",IF(K16="A","2-пружинный",IF(K16="K","1-пружинный","ЗАПОЛНИ")),IF(K16="A","2-пружинный",IF(K16="K","1-пружинный","Рекомендуется тип А"))))</f>
        <v>ЗАПОЛНИ</v>
      </c>
      <c r="L17" s="29"/>
      <c r="M17" s="9" t="str">
        <f>IF(M16="R","правосторонний",IF(M16="L","левосторонний","ЗАПОЛНИ"))</f>
        <v>ЗАПОЛНИ</v>
      </c>
      <c r="N17" s="9" t="str">
        <f>IF(N16="E","ЕСТЬ",IF(N16="_","НЕТ","ЗАПОЛНИ"))</f>
        <v>ЗАПОЛНИ</v>
      </c>
      <c r="O17" s="29"/>
      <c r="P17" s="9" t="str">
        <f>IF(P16="HE","ручной",IF(P16="NM","электропривод с возможностью ручного управления","ЗАПОЛНИ"))</f>
        <v>ЗАПОЛНИ</v>
      </c>
      <c r="Q17" s="42" t="str">
        <f>IF(Q16="EB","ЕСТЬ",IF(Q16="_","НЕТ","ЗАПОЛНИ"))</f>
        <v>ЗАПОЛНИ</v>
      </c>
      <c r="R17" s="8"/>
    </row>
    <row r="18" spans="2:18" ht="20.100000000000001" customHeight="1" thickBot="1" x14ac:dyDescent="0.25">
      <c r="B18" s="10"/>
      <c r="C18" s="11"/>
      <c r="D18" s="11"/>
      <c r="E18" s="11"/>
      <c r="F18" s="11"/>
      <c r="G18" s="64"/>
      <c r="H18" s="64"/>
      <c r="I18" s="64"/>
      <c r="J18" s="64"/>
      <c r="K18" s="41" t="str">
        <f>IF(AND(G16="F",K16="K"),"рекомендуется тип А",IF(H44="см. блок 1 параметр 5","рекомендуется тип К, см. блок 3",""))</f>
        <v/>
      </c>
      <c r="L18" s="64"/>
      <c r="M18" s="41" t="str">
        <f>IF(M16="L","рекомендуется правосторонний","")</f>
        <v/>
      </c>
      <c r="N18" s="64"/>
      <c r="O18" s="64"/>
      <c r="P18" s="41"/>
      <c r="Q18" s="64"/>
      <c r="R18" s="12"/>
    </row>
    <row r="19" spans="2:18" ht="20.100000000000001" customHeight="1" thickTop="1" x14ac:dyDescent="0.2">
      <c r="G19" s="17"/>
      <c r="J19" s="17"/>
      <c r="K19" s="17"/>
      <c r="M19" s="17"/>
      <c r="N19" s="17"/>
      <c r="P19" s="17"/>
      <c r="Q19" s="17"/>
    </row>
    <row r="20" spans="2:18" ht="20.100000000000001" customHeight="1" thickBot="1" x14ac:dyDescent="0.25">
      <c r="G20" s="17"/>
      <c r="J20" s="17"/>
      <c r="K20" s="17"/>
      <c r="M20" s="17"/>
      <c r="N20" s="17"/>
      <c r="P20" s="17"/>
      <c r="Q20" s="17"/>
    </row>
    <row r="21" spans="2:18" ht="30" customHeight="1" thickTop="1" thickBot="1" x14ac:dyDescent="0.25">
      <c r="B21" s="184" t="s">
        <v>80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</row>
    <row r="22" spans="2:18" ht="20.100000000000001" customHeight="1" thickTop="1" thickBot="1" x14ac:dyDescent="0.25">
      <c r="B22" s="3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33"/>
    </row>
    <row r="23" spans="2:18" ht="20.100000000000001" customHeight="1" thickBot="1" x14ac:dyDescent="0.25">
      <c r="B23" s="35"/>
      <c r="C23" s="137" t="s">
        <v>182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  <c r="P23" s="139">
        <v>0</v>
      </c>
      <c r="Q23" s="140"/>
      <c r="R23" s="43" t="str">
        <f>IF(OR(P23="",ISNUMBER(P23)),"","ОШИБКА")</f>
        <v/>
      </c>
    </row>
    <row r="24" spans="2:18" ht="20.100000000000001" customHeight="1" thickBot="1" x14ac:dyDescent="0.2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41" t="str">
        <f>IF(P23&lt;=0,"ЗАПОЛНИ"," ")</f>
        <v>ЗАПОЛНИ</v>
      </c>
      <c r="Q24" s="141"/>
      <c r="R24" s="12"/>
    </row>
    <row r="25" spans="2:18" ht="20.100000000000001" customHeight="1" thickTop="1" x14ac:dyDescent="0.2">
      <c r="P25" s="18"/>
      <c r="Q25" s="18"/>
    </row>
    <row r="26" spans="2:18" ht="20.100000000000001" customHeight="1" thickBot="1" x14ac:dyDescent="0.25"/>
    <row r="27" spans="2:18" ht="30" customHeight="1" thickTop="1" thickBot="1" x14ac:dyDescent="0.25">
      <c r="B27" s="184" t="s">
        <v>81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</row>
    <row r="28" spans="2:18" ht="20.100000000000001" customHeight="1" thickTop="1" thickBot="1" x14ac:dyDescent="0.25">
      <c r="B28" s="187" t="s">
        <v>67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</row>
    <row r="29" spans="2:18" ht="20.100000000000001" customHeight="1" thickTop="1" thickBot="1" x14ac:dyDescent="0.25">
      <c r="B29" s="32"/>
      <c r="C29" s="7"/>
      <c r="D29" s="7"/>
      <c r="E29" s="7"/>
      <c r="F29" s="7"/>
      <c r="G29" s="7"/>
      <c r="H29" s="73"/>
      <c r="I29" s="7"/>
      <c r="J29" s="7"/>
      <c r="K29" s="7"/>
      <c r="L29" s="7"/>
      <c r="M29" s="7"/>
      <c r="N29" s="72"/>
      <c r="O29" s="7"/>
      <c r="P29" s="7"/>
      <c r="Q29" s="7"/>
      <c r="R29" s="75"/>
    </row>
    <row r="30" spans="2:18" ht="20.100000000000001" customHeight="1" thickTop="1" thickBot="1" x14ac:dyDescent="0.25">
      <c r="B30" s="6"/>
      <c r="C30" s="196" t="s">
        <v>177</v>
      </c>
      <c r="D30" s="197"/>
      <c r="E30" s="197"/>
      <c r="F30" s="198"/>
      <c r="G30" s="23"/>
      <c r="H30" s="72"/>
      <c r="I30" s="4"/>
      <c r="J30" s="4"/>
      <c r="K30" s="4"/>
      <c r="L30" s="4"/>
      <c r="M30" s="4"/>
      <c r="N30" s="72"/>
      <c r="O30" s="4"/>
      <c r="P30" s="4"/>
      <c r="Q30" s="7"/>
      <c r="R30" s="76"/>
    </row>
    <row r="31" spans="2:18" ht="20.100000000000001" customHeight="1" thickTop="1" thickBot="1" x14ac:dyDescent="0.25">
      <c r="B31" s="6"/>
      <c r="C31" s="7"/>
      <c r="D31" s="7"/>
      <c r="E31" s="7"/>
      <c r="F31" s="7"/>
      <c r="G31" s="63" t="str">
        <f>IF(G30=0,"ЗАПОЛНИ",)</f>
        <v>ЗАПОЛНИ</v>
      </c>
      <c r="H31" s="72"/>
      <c r="I31" s="7"/>
      <c r="J31" s="7"/>
      <c r="K31" s="7"/>
      <c r="L31" s="7"/>
      <c r="M31" s="63"/>
      <c r="N31" s="72"/>
      <c r="O31" s="4"/>
      <c r="P31" s="4"/>
      <c r="Q31" s="7"/>
      <c r="R31" s="76"/>
    </row>
    <row r="32" spans="2:18" ht="20.100000000000001" customHeight="1" thickTop="1" x14ac:dyDescent="0.2">
      <c r="B32" s="6"/>
      <c r="C32" s="118" t="s">
        <v>57</v>
      </c>
      <c r="D32" s="119"/>
      <c r="E32" s="119"/>
      <c r="F32" s="119"/>
      <c r="G32" s="120"/>
      <c r="H32" s="72"/>
      <c r="I32" s="118" t="s">
        <v>78</v>
      </c>
      <c r="J32" s="119"/>
      <c r="K32" s="119"/>
      <c r="L32" s="119"/>
      <c r="M32" s="120"/>
      <c r="N32" s="72" t="b">
        <f>AND(I34="ЗАПОЛНИ",M35=0)</f>
        <v>0</v>
      </c>
      <c r="O32" s="118" t="s">
        <v>68</v>
      </c>
      <c r="P32" s="119"/>
      <c r="Q32" s="120"/>
      <c r="R32" s="77" t="b">
        <f>AND(O34="ЗАПОЛНИ",Q35=0)</f>
        <v>0</v>
      </c>
    </row>
    <row r="33" spans="2:18" ht="20.100000000000001" customHeight="1" thickBot="1" x14ac:dyDescent="0.25">
      <c r="B33" s="6"/>
      <c r="C33" s="121"/>
      <c r="D33" s="122"/>
      <c r="E33" s="122"/>
      <c r="F33" s="122"/>
      <c r="G33" s="123"/>
      <c r="H33" s="72"/>
      <c r="I33" s="121"/>
      <c r="J33" s="122"/>
      <c r="K33" s="122"/>
      <c r="L33" s="122"/>
      <c r="M33" s="123"/>
      <c r="N33" s="72" t="b">
        <f>AND(I34="ЗАПОЛНИ",M36=0)</f>
        <v>0</v>
      </c>
      <c r="O33" s="121"/>
      <c r="P33" s="122"/>
      <c r="Q33" s="123"/>
      <c r="R33" s="77" t="b">
        <f>AND(O34="ЗАПОЛНИ",Q37=0)</f>
        <v>0</v>
      </c>
    </row>
    <row r="34" spans="2:18" ht="20.100000000000001" customHeight="1" thickTop="1" thickBot="1" x14ac:dyDescent="0.25">
      <c r="B34" s="6"/>
      <c r="C34" s="142" t="str">
        <f>IF(G16="F","ЗАПОЛНИ","НЕ ЗАПОЛНЯЕТСЯ")</f>
        <v>НЕ ЗАПОЛНЯЕТСЯ</v>
      </c>
      <c r="D34" s="143"/>
      <c r="E34" s="143"/>
      <c r="F34" s="143"/>
      <c r="G34" s="144"/>
      <c r="H34" s="81"/>
      <c r="I34" s="142" t="str">
        <f>IF(N16="E","ЗАПОЛНИ","НЕ ЗАПОЛНЯЕТСЯ")</f>
        <v>НЕ ЗАПОЛНЯЕТСЯ</v>
      </c>
      <c r="J34" s="143"/>
      <c r="K34" s="143"/>
      <c r="L34" s="143"/>
      <c r="M34" s="144"/>
      <c r="N34" s="72" t="b">
        <f>AND(I34="ЗАПОЛНИ",M38=0)</f>
        <v>0</v>
      </c>
      <c r="O34" s="142" t="str">
        <f>IF(P16="NM","ЗАПОЛНИ","НЕ ЗАПОЛНЯЕТСЯ")</f>
        <v>НЕ ЗАПОЛНЯЕТСЯ</v>
      </c>
      <c r="P34" s="143"/>
      <c r="Q34" s="144"/>
      <c r="R34" s="77"/>
    </row>
    <row r="35" spans="2:18" ht="20.100000000000001" customHeight="1" thickBot="1" x14ac:dyDescent="0.25">
      <c r="B35" s="6"/>
      <c r="C35" s="174" t="s">
        <v>70</v>
      </c>
      <c r="D35" s="175"/>
      <c r="E35" s="175"/>
      <c r="F35" s="175"/>
      <c r="G35" s="176"/>
      <c r="H35" s="81"/>
      <c r="I35" s="170" t="s">
        <v>86</v>
      </c>
      <c r="J35" s="171"/>
      <c r="K35" s="171"/>
      <c r="L35" s="172"/>
      <c r="M35" s="22"/>
      <c r="N35" s="81" t="str">
        <f>IF(I34="НЕ ЗАПОЛНЯЕТСЯ",IF(M35&lt;&gt;"","ОШИБКА"," ")," ")</f>
        <v xml:space="preserve"> </v>
      </c>
      <c r="O35" s="105" t="s">
        <v>173</v>
      </c>
      <c r="P35" s="193"/>
      <c r="Q35" s="223" t="str">
        <f>IF(AND($M$16="R",$P$16="NM"),"слева",IF(AND($M$16="L",$P$16="NM"),"справа",""))</f>
        <v/>
      </c>
      <c r="R35" s="129"/>
    </row>
    <row r="36" spans="2:18" ht="20.100000000000001" customHeight="1" thickBot="1" x14ac:dyDescent="0.25">
      <c r="B36" s="6" t="str">
        <f>IF($B$31&lt;&gt;"",IF(AND($B$35='-'!$A$16,'Опросный лист 2 (заполняется)'!$M$47="+"),'-'!$A$24,""),"")</f>
        <v/>
      </c>
      <c r="C36" s="158" t="s">
        <v>55</v>
      </c>
      <c r="D36" s="159"/>
      <c r="E36" s="160"/>
      <c r="F36" s="161" t="s">
        <v>53</v>
      </c>
      <c r="G36" s="103" t="s">
        <v>58</v>
      </c>
      <c r="H36" s="81"/>
      <c r="I36" s="145" t="s">
        <v>160</v>
      </c>
      <c r="J36" s="146"/>
      <c r="K36" s="146"/>
      <c r="L36" s="147"/>
      <c r="M36" s="109"/>
      <c r="N36" s="126" t="str">
        <f>IF(I34="НЕ ЗАПОЛНЯЕТСЯ",IF(M36&gt;0,"ОШИБКА"," "),IF(OR(AND(M36="24DC",OR(M45="220DC",M45="230AC",Q42="220DC",Q42="230AC")),AND(M36="220DC",OR(M45="24DC",M45="230AC",Q42="24DC",Q42="230AC")),AND(M36="230AC",OR(M45="220DC",M45="24DC",Q42="220DC",Q42="24DC"))),"ОШИБКА должно быть одинаковым"," "))</f>
        <v xml:space="preserve"> </v>
      </c>
      <c r="O36" s="194"/>
      <c r="P36" s="195"/>
      <c r="Q36" s="224"/>
      <c r="R36" s="129"/>
    </row>
    <row r="37" spans="2:18" ht="20.100000000000001" customHeight="1" thickBot="1" x14ac:dyDescent="0.25">
      <c r="B37" s="6"/>
      <c r="C37" s="163" t="s">
        <v>56</v>
      </c>
      <c r="D37" s="164"/>
      <c r="E37" s="165"/>
      <c r="F37" s="162"/>
      <c r="G37" s="104" t="s">
        <v>36</v>
      </c>
      <c r="H37" s="81"/>
      <c r="I37" s="148"/>
      <c r="J37" s="149"/>
      <c r="K37" s="149"/>
      <c r="L37" s="150"/>
      <c r="M37" s="110"/>
      <c r="N37" s="126"/>
      <c r="O37" s="155" t="s">
        <v>82</v>
      </c>
      <c r="P37" s="156"/>
      <c r="Q37" s="109"/>
      <c r="R37" s="129" t="str">
        <f>IF(O34="НЕ ЗАПОЛНЯЕТСЯ",IF(Q37&gt;0,"ОШИБКА"," ")," ")</f>
        <v xml:space="preserve"> </v>
      </c>
    </row>
    <row r="38" spans="2:18" ht="20.100000000000001" customHeight="1" thickBot="1" x14ac:dyDescent="0.25">
      <c r="B38" s="6"/>
      <c r="C38" s="166" t="s">
        <v>162</v>
      </c>
      <c r="D38" s="167"/>
      <c r="E38" s="167"/>
      <c r="F38" s="168"/>
      <c r="G38" s="109"/>
      <c r="H38" s="169" t="str">
        <f>IF(C34="НЕ ЗАПОЛНЯЕТСЯ",IF(G38&gt;0,"ОШИБКА"," ")," ")</f>
        <v xml:space="preserve"> </v>
      </c>
      <c r="I38" s="145" t="s">
        <v>164</v>
      </c>
      <c r="J38" s="146"/>
      <c r="K38" s="146"/>
      <c r="L38" s="147"/>
      <c r="M38" s="109"/>
      <c r="N38" s="126" t="str">
        <f>IF(I34="НЕ ЗАПОЛНЯЕТСЯ",IF(M38&gt;0,"ОШИБКА"," "),IF(AND(M38="+",M16="R"),"монтируется слева от главных ножей",IF(AND(M38="+",M16="L"),"монтируется справа от главных ножей"," ")))</f>
        <v xml:space="preserve"> </v>
      </c>
      <c r="O38" s="155"/>
      <c r="P38" s="156"/>
      <c r="Q38" s="157"/>
      <c r="R38" s="129"/>
    </row>
    <row r="39" spans="2:18" ht="20.100000000000001" customHeight="1" thickBot="1" x14ac:dyDescent="0.25">
      <c r="B39" s="6"/>
      <c r="C39" s="148"/>
      <c r="D39" s="149"/>
      <c r="E39" s="149"/>
      <c r="F39" s="150"/>
      <c r="G39" s="110"/>
      <c r="H39" s="169"/>
      <c r="I39" s="148"/>
      <c r="J39" s="149"/>
      <c r="K39" s="149"/>
      <c r="L39" s="150"/>
      <c r="M39" s="110"/>
      <c r="N39" s="126"/>
      <c r="O39" s="134" t="str">
        <f>IF(OR(P16="NM",P16="HE"),"ЗАПОЛНИ","НЕ ЗАПОЛНЯЕТСЯ")</f>
        <v>НЕ ЗАПОЛНЯЕТСЯ</v>
      </c>
      <c r="P39" s="135"/>
      <c r="Q39" s="136"/>
      <c r="R39" s="77" t="b">
        <f>AND(O39="ЗАПОЛНИ",Q40=0)</f>
        <v>0</v>
      </c>
    </row>
    <row r="40" spans="2:18" ht="20.100000000000001" customHeight="1" thickBot="1" x14ac:dyDescent="0.25">
      <c r="B40" s="6"/>
      <c r="C40" s="40" t="str">
        <f>_xlfn.IFNA(VLOOKUP($B$40,'-'!$A:$B,2,0),"")</f>
        <v/>
      </c>
      <c r="D40" s="9"/>
      <c r="E40" s="9"/>
      <c r="F40" s="7"/>
      <c r="G40" s="7"/>
      <c r="H40" s="81"/>
      <c r="I40" s="7"/>
      <c r="J40" s="7"/>
      <c r="K40" s="7"/>
      <c r="L40" s="7"/>
      <c r="M40" s="5"/>
      <c r="N40" s="72"/>
      <c r="O40" s="127" t="s">
        <v>87</v>
      </c>
      <c r="P40" s="128"/>
      <c r="Q40" s="227"/>
      <c r="R40" s="79" t="str">
        <f>IF(O39="НЕ ЗАПОЛНЯЕТСЯ",IF(Q40&lt;&gt;"","ОШИБКА"," ")," ")</f>
        <v xml:space="preserve"> </v>
      </c>
    </row>
    <row r="41" spans="2:18" ht="20.100000000000001" customHeight="1" thickTop="1" thickBot="1" x14ac:dyDescent="0.25">
      <c r="B41" s="6"/>
      <c r="C41" s="118" t="s">
        <v>62</v>
      </c>
      <c r="D41" s="119"/>
      <c r="E41" s="119"/>
      <c r="F41" s="119"/>
      <c r="G41" s="120"/>
      <c r="H41" s="72" t="b">
        <f>AND(C43="ЗАПОЛНИ",G44=0)</f>
        <v>0</v>
      </c>
      <c r="I41" s="118" t="s">
        <v>85</v>
      </c>
      <c r="J41" s="119"/>
      <c r="K41" s="119"/>
      <c r="L41" s="119"/>
      <c r="M41" s="120"/>
      <c r="N41" s="72" t="b">
        <f>AND(I43="ЗАПОЛНИ",M44=0)</f>
        <v>0</v>
      </c>
      <c r="O41" s="134" t="str">
        <f>IF(P16="HE","ЗАПОЛНИ","НЕ ЗАПОЛНЯЕТСЯ")</f>
        <v>НЕ ЗАПОЛНЯЕТСЯ</v>
      </c>
      <c r="P41" s="135"/>
      <c r="Q41" s="136"/>
      <c r="R41" s="77" t="b">
        <f>AND(O41="ЗАПОЛНИ",Q42=0)</f>
        <v>0</v>
      </c>
    </row>
    <row r="42" spans="2:18" ht="20.100000000000001" customHeight="1" thickBot="1" x14ac:dyDescent="0.25">
      <c r="B42" s="6"/>
      <c r="C42" s="121"/>
      <c r="D42" s="122"/>
      <c r="E42" s="122"/>
      <c r="F42" s="122"/>
      <c r="G42" s="123"/>
      <c r="H42" s="72" t="b">
        <f>AND(C43="ЗАПОЛНИ",G46=0)</f>
        <v>0</v>
      </c>
      <c r="I42" s="121"/>
      <c r="J42" s="122"/>
      <c r="K42" s="122"/>
      <c r="L42" s="122"/>
      <c r="M42" s="123"/>
      <c r="N42" s="72" t="b">
        <f>AND(I43="ЗАПОЛНИ",M45=0)</f>
        <v>0</v>
      </c>
      <c r="O42" s="105" t="s">
        <v>160</v>
      </c>
      <c r="P42" s="106"/>
      <c r="Q42" s="109"/>
      <c r="R42" s="111" t="str">
        <f>IF(O41="НЕ ЗАПОЛНЯЕТСЯ",IF(Q42&gt;0,"ОШИБКА"," "),IF(OR(AND(Q42="24DC",OR(M36="220DC",M36="230AC",M45="220DC",M45="230AC")),AND(Q42="220DC",OR(M36="24DC",M36="230AC",M45="24DC",M45="230AC")),AND(Q42="230AC",OR(M36="220DC",M36="24DC",M45="220DC",M45="24DC"))),"ОШИБКА должно быть одинаковым"," "))</f>
        <v xml:space="preserve"> </v>
      </c>
    </row>
    <row r="43" spans="2:18" ht="20.100000000000001" customHeight="1" thickTop="1" thickBot="1" x14ac:dyDescent="0.25">
      <c r="B43" s="6"/>
      <c r="C43" s="142" t="str">
        <f>IF(AND(G16="F",K16="A"),"ЗАПОЛНИ","НЕ ЗАПОЛНЯЕТСЯ")</f>
        <v>НЕ ЗАПОЛНЯЕТСЯ</v>
      </c>
      <c r="D43" s="143"/>
      <c r="E43" s="143"/>
      <c r="F43" s="143"/>
      <c r="G43" s="144"/>
      <c r="H43" s="81" t="str">
        <f>IF(C43="ЗАПОЛНИ",IF(AND(OR(G44=0,G44="-"),G46="+"),"ОШИБКА"," ")," ")</f>
        <v xml:space="preserve"> </v>
      </c>
      <c r="I43" s="142" t="str">
        <f>IF(Q16="EB","ЗАПОЛНИ","НЕ ЗАПОЛНЯЕТСЯ")</f>
        <v>НЕ ЗАПОЛНЯЕТСЯ</v>
      </c>
      <c r="J43" s="143"/>
      <c r="K43" s="143"/>
      <c r="L43" s="143"/>
      <c r="M43" s="144"/>
      <c r="N43" s="72" t="b">
        <f>AND(I43="ЗАПОЛНИ",M47=0)</f>
        <v>0</v>
      </c>
      <c r="O43" s="107"/>
      <c r="P43" s="108"/>
      <c r="Q43" s="110"/>
      <c r="R43" s="111"/>
    </row>
    <row r="44" spans="2:18" ht="20.100000000000001" customHeight="1" thickBot="1" x14ac:dyDescent="0.25">
      <c r="B44" s="6"/>
      <c r="C44" s="178" t="s">
        <v>167</v>
      </c>
      <c r="D44" s="179"/>
      <c r="E44" s="179"/>
      <c r="F44" s="179"/>
      <c r="G44" s="183"/>
      <c r="H44" s="126" t="str">
        <f>IF(C43="НЕ ЗАПОЛНЯЕТСЯ",IF(G44&gt;0,"ОШИБКА"," "),IF(AND(G44="-",K16="A"),"см. блок 1 параметр 5"," "))</f>
        <v xml:space="preserve"> </v>
      </c>
      <c r="I44" s="170" t="s">
        <v>86</v>
      </c>
      <c r="J44" s="171"/>
      <c r="K44" s="171"/>
      <c r="L44" s="172"/>
      <c r="M44" s="22"/>
      <c r="N44" s="81" t="str">
        <f>IF(I43="НЕ ЗАПОЛНЯЕТСЯ",IF(M44&lt;&gt;"","ОШИБКА"," ")," ")</f>
        <v xml:space="preserve"> </v>
      </c>
      <c r="O44" s="4"/>
      <c r="P44" s="4"/>
      <c r="Q44" s="7"/>
      <c r="R44" s="76"/>
    </row>
    <row r="45" spans="2:18" ht="20.100000000000001" customHeight="1" thickBot="1" x14ac:dyDescent="0.25">
      <c r="B45" s="6"/>
      <c r="C45" s="180"/>
      <c r="D45" s="181"/>
      <c r="E45" s="181"/>
      <c r="F45" s="181"/>
      <c r="G45" s="173"/>
      <c r="H45" s="126"/>
      <c r="I45" s="166" t="s">
        <v>160</v>
      </c>
      <c r="J45" s="167"/>
      <c r="K45" s="167"/>
      <c r="L45" s="168"/>
      <c r="M45" s="109"/>
      <c r="N45" s="126" t="str">
        <f>IF(I43="НЕ ЗАПОЛНЯЕТСЯ",IF(M45&gt;0,"ОШИБКА"," "),IF(OR(AND(M45="24DC",OR(M36="220DC",M36="230AC",Q42="220DC",Q42="230AC")),AND(M45="220DC",OR(M36="24DC",M36="230AC",Q42="24DC",Q42="230AC")),AND(M45="230AC",OR(M36="220DC",M36="24DC",Q42="220DC",Q42="24DC"))),"ОШИБКА должно быть одинаковым"," "))</f>
        <v xml:space="preserve"> </v>
      </c>
      <c r="O45" s="4"/>
      <c r="P45" s="4"/>
      <c r="Q45" s="7"/>
      <c r="R45" s="76"/>
    </row>
    <row r="46" spans="2:18" ht="20.100000000000001" customHeight="1" thickBot="1" x14ac:dyDescent="0.25">
      <c r="B46" s="6"/>
      <c r="C46" s="180" t="s">
        <v>168</v>
      </c>
      <c r="D46" s="181"/>
      <c r="E46" s="181"/>
      <c r="F46" s="181"/>
      <c r="G46" s="173"/>
      <c r="H46" s="182" t="str">
        <f>IF(C43="НЕ ЗАПОЛНЯЕТСЯ",IF(G46&gt;0,"ОШИБКА"," ")," ")</f>
        <v xml:space="preserve"> </v>
      </c>
      <c r="I46" s="148"/>
      <c r="J46" s="149"/>
      <c r="K46" s="149"/>
      <c r="L46" s="150"/>
      <c r="M46" s="110"/>
      <c r="N46" s="126"/>
      <c r="O46" s="225" t="str">
        <f>IF(AND(I43="ЗАПОЛНИ",N47="ОШИБКА",AND(M47="+",M16="L")),"    Установка механической блокировки на верхний заземлитель (EB) невозможна, при компоновке с двумя заземлителями (E+EB)."&amp;" Когда нижний заземлитель (E) оборудован механичекой блокировкой, ручные привода главных ножей и заземлителей размещаются слева, а главные ножи оснащены моторным приводом."&amp;"
    Рекомендуется изменить расположение ручных приводов на правостороннее (см. блок 1 параметр 7)."&amp;"
    В противном случае, используйте электромагнитную блокировку ручного привода верхнего заземлителя (EB) и навесной замок на ручной привод главных ножей"," ")</f>
        <v xml:space="preserve"> </v>
      </c>
      <c r="P46" s="225"/>
      <c r="Q46" s="225"/>
      <c r="R46" s="226"/>
    </row>
    <row r="47" spans="2:18" ht="20.100000000000001" customHeight="1" thickBot="1" x14ac:dyDescent="0.25">
      <c r="B47" s="6"/>
      <c r="C47" s="180"/>
      <c r="D47" s="181"/>
      <c r="E47" s="181"/>
      <c r="F47" s="181"/>
      <c r="G47" s="173"/>
      <c r="H47" s="182"/>
      <c r="I47" s="145" t="s">
        <v>164</v>
      </c>
      <c r="J47" s="146"/>
      <c r="K47" s="146"/>
      <c r="L47" s="147"/>
      <c r="M47" s="109"/>
      <c r="N47" s="126" t="str">
        <f>IF(I43="НЕ ЗАПОЛНЯЕТСЯ",IF(M47&gt;0,"ОШИБКА"," "),IF(AND(M16="R",M47="+"),"монтируется слева от главных ножей",IF(AND(M16="L",N16="E",P16="NM",M47="+",M38="+"),"ОШИБКА",IF(AND(M16="L",M47="+",OR(P16="HE",N16="_",AND(N16="E",M38="-"))),"монтируется справа от главных ножей"," "))))</f>
        <v xml:space="preserve"> </v>
      </c>
      <c r="O47" s="225"/>
      <c r="P47" s="225"/>
      <c r="Q47" s="225"/>
      <c r="R47" s="226"/>
    </row>
    <row r="48" spans="2:18" ht="20.100000000000001" customHeight="1" thickBot="1" x14ac:dyDescent="0.25">
      <c r="B48" s="6"/>
      <c r="C48" s="40"/>
      <c r="D48" s="9"/>
      <c r="E48" s="9"/>
      <c r="F48" s="7"/>
      <c r="G48" s="7"/>
      <c r="H48" s="81"/>
      <c r="I48" s="148"/>
      <c r="J48" s="149"/>
      <c r="K48" s="149"/>
      <c r="L48" s="150"/>
      <c r="M48" s="110"/>
      <c r="N48" s="126"/>
      <c r="O48" s="225"/>
      <c r="P48" s="225"/>
      <c r="Q48" s="225"/>
      <c r="R48" s="226"/>
    </row>
    <row r="49" spans="2:18" ht="20.100000000000001" customHeight="1" thickTop="1" x14ac:dyDescent="0.2">
      <c r="B49" s="6"/>
      <c r="C49" s="118" t="s">
        <v>63</v>
      </c>
      <c r="D49" s="119"/>
      <c r="E49" s="119"/>
      <c r="F49" s="119"/>
      <c r="G49" s="120"/>
      <c r="H49" s="72"/>
      <c r="I49" s="4"/>
      <c r="J49" s="4"/>
      <c r="K49" s="4"/>
      <c r="L49" s="4"/>
      <c r="M49" s="4"/>
      <c r="N49" s="72"/>
      <c r="O49" s="225"/>
      <c r="P49" s="225"/>
      <c r="Q49" s="225"/>
      <c r="R49" s="226"/>
    </row>
    <row r="50" spans="2:18" ht="20.100000000000001" customHeight="1" thickBot="1" x14ac:dyDescent="0.25">
      <c r="B50" s="6"/>
      <c r="C50" s="121"/>
      <c r="D50" s="122"/>
      <c r="E50" s="122"/>
      <c r="F50" s="122"/>
      <c r="G50" s="123"/>
      <c r="H50" s="72"/>
      <c r="I50" s="4"/>
      <c r="J50" s="4"/>
      <c r="K50" s="4"/>
      <c r="L50" s="4"/>
      <c r="M50" s="4"/>
      <c r="N50" s="4"/>
      <c r="O50" s="4"/>
      <c r="P50" s="4"/>
      <c r="Q50" s="7"/>
      <c r="R50" s="76"/>
    </row>
    <row r="51" spans="2:18" ht="20.100000000000001" customHeight="1" thickTop="1" thickBot="1" x14ac:dyDescent="0.25">
      <c r="B51" s="6"/>
      <c r="C51" s="142" t="str">
        <f>IF(K16="A","ЗАПОЛНИ","НЕ ЗАПОЛНЯЕТСЯ")</f>
        <v>НЕ ЗАПОЛНЯЕТСЯ</v>
      </c>
      <c r="D51" s="143"/>
      <c r="E51" s="143"/>
      <c r="F51" s="143"/>
      <c r="G51" s="144"/>
      <c r="H51" s="81"/>
      <c r="I51" s="4"/>
      <c r="J51" s="4"/>
      <c r="K51" s="4"/>
      <c r="L51" s="4"/>
      <c r="M51" s="4"/>
      <c r="N51" s="4"/>
      <c r="O51" s="4"/>
      <c r="P51" s="4"/>
      <c r="Q51" s="7"/>
      <c r="R51" s="76"/>
    </row>
    <row r="52" spans="2:18" ht="20.100000000000001" customHeight="1" thickTop="1" thickBot="1" x14ac:dyDescent="0.25">
      <c r="B52" s="6"/>
      <c r="C52" s="145" t="s">
        <v>169</v>
      </c>
      <c r="D52" s="146"/>
      <c r="E52" s="146"/>
      <c r="F52" s="147"/>
      <c r="G52" s="177"/>
      <c r="H52" s="169" t="str">
        <f>IF(C51="НЕ ЗАПОЛНЯЕТСЯ",IF(G52&gt;0,"ОШИБКА"," ")," ")</f>
        <v xml:space="preserve"> </v>
      </c>
      <c r="I52" s="4"/>
      <c r="J52" s="4"/>
      <c r="K52" s="4"/>
      <c r="L52" s="4"/>
      <c r="M52" s="4"/>
      <c r="N52" s="4"/>
      <c r="O52" s="124" t="s">
        <v>176</v>
      </c>
      <c r="P52" s="125"/>
      <c r="Q52" s="23"/>
      <c r="R52" s="76"/>
    </row>
    <row r="53" spans="2:18" ht="20.100000000000001" customHeight="1" thickTop="1" thickBot="1" x14ac:dyDescent="0.25">
      <c r="B53" s="6"/>
      <c r="C53" s="148"/>
      <c r="D53" s="149"/>
      <c r="E53" s="149"/>
      <c r="F53" s="150"/>
      <c r="G53" s="110"/>
      <c r="H53" s="169"/>
      <c r="I53" s="4"/>
      <c r="J53" s="4"/>
      <c r="K53" s="4"/>
      <c r="L53" s="4"/>
      <c r="M53" s="4"/>
      <c r="N53" s="4"/>
      <c r="O53" s="86" t="str">
        <f>"( в обязательный комплект поставки входит 1 рычаг )"</f>
        <v>( в обязательный комплект поставки входит 1 рычаг )</v>
      </c>
      <c r="P53" s="7"/>
      <c r="Q53" s="63" t="str">
        <f>IF(Q52="","ЗАПОЛНИ","")</f>
        <v>ЗАПОЛНИ</v>
      </c>
      <c r="R53" s="76"/>
    </row>
    <row r="54" spans="2:18" ht="20.100000000000001" customHeight="1" thickBot="1" x14ac:dyDescent="0.25">
      <c r="B54" s="10"/>
      <c r="C54" s="11"/>
      <c r="D54" s="11"/>
      <c r="E54" s="11"/>
      <c r="F54" s="11"/>
      <c r="G54" s="11"/>
      <c r="H54" s="74"/>
      <c r="I54" s="11"/>
      <c r="J54" s="11"/>
      <c r="K54" s="11"/>
      <c r="L54" s="11"/>
      <c r="M54" s="11"/>
      <c r="N54" s="11"/>
      <c r="O54" s="11"/>
      <c r="P54" s="11"/>
      <c r="Q54" s="11"/>
      <c r="R54" s="78" t="str">
        <f>IF(OR(H34="ОШИБКА",H35="ОШИБКА",H36="ОШИБКА",H37="ОШИБКА",H38="ОШИБКА",H43="ОШИБКА",H44="ОШИБКА",H46="ОШИБКА",H52="ОШИБКА",N35="ОШИБКА",N36="ОШИБКА",N38="ОШИБКА",N44="ОШИБКА",N45="ОШИБКА",N47="ОШИБКА",R35="ОШИБКА"),"ОШИБКА","")</f>
        <v/>
      </c>
    </row>
    <row r="55" spans="2:18" ht="20.100000000000001" customHeight="1" thickTop="1" x14ac:dyDescent="0.2"/>
    <row r="56" spans="2:18" ht="20.100000000000001" customHeight="1" x14ac:dyDescent="0.2"/>
    <row r="57" spans="2:18" ht="20.100000000000001" customHeight="1" x14ac:dyDescent="0.2"/>
    <row r="58" spans="2:18" ht="20.100000000000001" customHeight="1" thickBot="1" x14ac:dyDescent="0.25"/>
    <row r="59" spans="2:18" ht="20.100000000000001" customHeight="1" thickTop="1" x14ac:dyDescent="0.2">
      <c r="B59" s="112" t="s">
        <v>178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4"/>
    </row>
    <row r="60" spans="2:18" ht="20.100000000000001" customHeight="1" thickBot="1" x14ac:dyDescent="0.25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</row>
    <row r="61" spans="2:18" ht="20.100000000000001" customHeight="1" thickTop="1" x14ac:dyDescent="0.2"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9"/>
    </row>
    <row r="62" spans="2:18" ht="20.100000000000001" customHeight="1" x14ac:dyDescent="0.2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9"/>
    </row>
    <row r="63" spans="2:18" ht="20.100000000000001" customHeight="1" x14ac:dyDescent="0.2"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</row>
    <row r="64" spans="2:18" x14ac:dyDescent="0.2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9"/>
    </row>
    <row r="65" spans="2:18" x14ac:dyDescent="0.2"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9"/>
    </row>
    <row r="66" spans="2:18" x14ac:dyDescent="0.2"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9"/>
    </row>
    <row r="67" spans="2:18" x14ac:dyDescent="0.2"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</row>
    <row r="68" spans="2:18" x14ac:dyDescent="0.2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</row>
    <row r="69" spans="2:18" x14ac:dyDescent="0.2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</row>
    <row r="70" spans="2:18" ht="18.75" thickBot="1" x14ac:dyDescent="0.25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2"/>
    </row>
    <row r="71" spans="2:18" ht="18.75" thickTop="1" x14ac:dyDescent="0.2"/>
  </sheetData>
  <sheetProtection algorithmName="SHA-512" hashValue="DKj7hBD8HIREQolvkeP1Rl5rbDsocrg27hpWRlhS2N8KopPDG0aXJFh3j1VgmhbLTIavARDzlj+p0kjmW4GmaA==" saltValue="qHm639hQRXlQ23OU/c5cyw==" spinCount="100000" sheet="1" formatCells="0" formatColumns="0" formatRows="0" insertColumns="0" insertRows="0" insertHyperlinks="0" deleteColumns="0" deleteRows="0" sort="0" autoFilter="0" pivotTables="0"/>
  <dataConsolidate/>
  <mergeCells count="80">
    <mergeCell ref="C7:M7"/>
    <mergeCell ref="B2:R2"/>
    <mergeCell ref="C3:Q3"/>
    <mergeCell ref="C4:Q4"/>
    <mergeCell ref="C5:P5"/>
    <mergeCell ref="C6:N6"/>
    <mergeCell ref="C23:O23"/>
    <mergeCell ref="P23:Q23"/>
    <mergeCell ref="C8:L8"/>
    <mergeCell ref="C9:K9"/>
    <mergeCell ref="C10:J10"/>
    <mergeCell ref="C11:H11"/>
    <mergeCell ref="C12:G12"/>
    <mergeCell ref="C13:F13"/>
    <mergeCell ref="C14:E14"/>
    <mergeCell ref="C15:E15"/>
    <mergeCell ref="C16:E16"/>
    <mergeCell ref="B21:R21"/>
    <mergeCell ref="C22:Q22"/>
    <mergeCell ref="P24:Q24"/>
    <mergeCell ref="B27:R27"/>
    <mergeCell ref="B28:R28"/>
    <mergeCell ref="C30:F30"/>
    <mergeCell ref="C32:G33"/>
    <mergeCell ref="I32:M33"/>
    <mergeCell ref="O32:Q33"/>
    <mergeCell ref="C34:G34"/>
    <mergeCell ref="I34:M34"/>
    <mergeCell ref="O34:Q34"/>
    <mergeCell ref="C35:G35"/>
    <mergeCell ref="I35:L35"/>
    <mergeCell ref="O35:P36"/>
    <mergeCell ref="Q35:Q36"/>
    <mergeCell ref="R35:R36"/>
    <mergeCell ref="C36:E36"/>
    <mergeCell ref="F36:F37"/>
    <mergeCell ref="I36:L37"/>
    <mergeCell ref="M36:M37"/>
    <mergeCell ref="N36:N37"/>
    <mergeCell ref="C37:E37"/>
    <mergeCell ref="O37:P38"/>
    <mergeCell ref="Q37:Q38"/>
    <mergeCell ref="R37:R38"/>
    <mergeCell ref="O39:Q39"/>
    <mergeCell ref="O40:P40"/>
    <mergeCell ref="C41:G42"/>
    <mergeCell ref="I41:M42"/>
    <mergeCell ref="O41:Q41"/>
    <mergeCell ref="O42:P43"/>
    <mergeCell ref="Q42:Q43"/>
    <mergeCell ref="C38:F39"/>
    <mergeCell ref="G38:G39"/>
    <mergeCell ref="H38:H39"/>
    <mergeCell ref="I38:L39"/>
    <mergeCell ref="M38:M39"/>
    <mergeCell ref="N38:N39"/>
    <mergeCell ref="N47:N48"/>
    <mergeCell ref="R42:R43"/>
    <mergeCell ref="C43:G43"/>
    <mergeCell ref="I43:M43"/>
    <mergeCell ref="C44:F45"/>
    <mergeCell ref="G44:G45"/>
    <mergeCell ref="H44:H45"/>
    <mergeCell ref="I44:L44"/>
    <mergeCell ref="I45:L46"/>
    <mergeCell ref="M45:M46"/>
    <mergeCell ref="N45:N46"/>
    <mergeCell ref="C46:F47"/>
    <mergeCell ref="G46:G47"/>
    <mergeCell ref="H46:H47"/>
    <mergeCell ref="I47:L48"/>
    <mergeCell ref="M47:M48"/>
    <mergeCell ref="B59:R60"/>
    <mergeCell ref="C49:G50"/>
    <mergeCell ref="C51:G51"/>
    <mergeCell ref="C52:F53"/>
    <mergeCell ref="G52:G53"/>
    <mergeCell ref="H52:H53"/>
    <mergeCell ref="O52:P52"/>
    <mergeCell ref="O46:R49"/>
  </mergeCells>
  <conditionalFormatting sqref="P23">
    <cfRule type="cellIs" dxfId="141" priority="122" operator="greaterThan">
      <formula>0</formula>
    </cfRule>
  </conditionalFormatting>
  <conditionalFormatting sqref="G16">
    <cfRule type="expression" dxfId="140" priority="105">
      <formula>$G$16=""</formula>
    </cfRule>
    <cfRule type="cellIs" dxfId="139" priority="121" operator="notEqual">
      <formula>""</formula>
    </cfRule>
  </conditionalFormatting>
  <conditionalFormatting sqref="K16">
    <cfRule type="expression" dxfId="138" priority="103">
      <formula>$K$16=""</formula>
    </cfRule>
    <cfRule type="expression" dxfId="137" priority="115" stopIfTrue="1">
      <formula>OR($K$18="рекомендуется тип А",$K$18="рекомендуется тип К")</formula>
    </cfRule>
    <cfRule type="cellIs" dxfId="136" priority="120" operator="notEqual">
      <formula>""</formula>
    </cfRule>
  </conditionalFormatting>
  <conditionalFormatting sqref="M16">
    <cfRule type="expression" dxfId="135" priority="54">
      <formula>$M$16=""</formula>
    </cfRule>
    <cfRule type="expression" dxfId="134" priority="102" stopIfTrue="1">
      <formula>$M$18="рекомендуется правосторонний"</formula>
    </cfRule>
    <cfRule type="cellIs" dxfId="133" priority="119" operator="notEqual">
      <formula>""</formula>
    </cfRule>
  </conditionalFormatting>
  <conditionalFormatting sqref="N16">
    <cfRule type="expression" dxfId="132" priority="101">
      <formula>$N$16=""</formula>
    </cfRule>
    <cfRule type="cellIs" dxfId="131" priority="118" operator="notEqual">
      <formula>""</formula>
    </cfRule>
  </conditionalFormatting>
  <conditionalFormatting sqref="P16">
    <cfRule type="expression" dxfId="130" priority="100">
      <formula>$P$16=""</formula>
    </cfRule>
    <cfRule type="cellIs" dxfId="129" priority="117" operator="notEqual">
      <formula>""</formula>
    </cfRule>
  </conditionalFormatting>
  <conditionalFormatting sqref="J16">
    <cfRule type="expression" dxfId="128" priority="104">
      <formula>$J$16=""</formula>
    </cfRule>
    <cfRule type="cellIs" dxfId="127" priority="116" operator="notEqual">
      <formula>""</formula>
    </cfRule>
  </conditionalFormatting>
  <conditionalFormatting sqref="Q16">
    <cfRule type="expression" dxfId="126" priority="99">
      <formula>$Q$16=""</formula>
    </cfRule>
    <cfRule type="cellIs" dxfId="125" priority="114" operator="notEqual">
      <formula>""</formula>
    </cfRule>
  </conditionalFormatting>
  <conditionalFormatting sqref="C35">
    <cfRule type="expression" dxfId="124" priority="113">
      <formula>$H$35="ОШИБКА"</formula>
    </cfRule>
  </conditionalFormatting>
  <conditionalFormatting sqref="G44">
    <cfRule type="expression" dxfId="123" priority="58">
      <formula>$H$41=TRUE</formula>
    </cfRule>
    <cfRule type="expression" dxfId="122" priority="110" stopIfTrue="1">
      <formula>$H$44="ОШИБКА"</formula>
    </cfRule>
    <cfRule type="cellIs" dxfId="121" priority="111" stopIfTrue="1" operator="equal">
      <formula>"-"</formula>
    </cfRule>
    <cfRule type="cellIs" dxfId="120" priority="112" operator="notEqual">
      <formula>""</formula>
    </cfRule>
  </conditionalFormatting>
  <conditionalFormatting sqref="G46">
    <cfRule type="expression" dxfId="119" priority="107">
      <formula>$H$42=TRUE</formula>
    </cfRule>
    <cfRule type="expression" dxfId="118" priority="108" stopIfTrue="1">
      <formula>OR($H$46="ОШИБКА",AND(OR($G$44=0,$G$44="-"),$G$46="+"))</formula>
    </cfRule>
    <cfRule type="cellIs" dxfId="117" priority="109" operator="notEqual">
      <formula>""</formula>
    </cfRule>
  </conditionalFormatting>
  <conditionalFormatting sqref="P23:Q23">
    <cfRule type="expression" dxfId="116" priority="74" stopIfTrue="1">
      <formula>$R$23="ОШИБКА"</formula>
    </cfRule>
    <cfRule type="expression" dxfId="115" priority="106">
      <formula>$P$23=0</formula>
    </cfRule>
  </conditionalFormatting>
  <conditionalFormatting sqref="C43">
    <cfRule type="expression" dxfId="114" priority="91" stopIfTrue="1">
      <formula>OR($C$43="НЕ ЗАПОЛНЯЕТСЯ",$H$43="ОШИБКА")</formula>
    </cfRule>
    <cfRule type="expression" dxfId="113" priority="92">
      <formula>AND($C$43="ЗАПОЛНИ",OR($G$44="",$G$46=""))</formula>
    </cfRule>
    <cfRule type="expression" dxfId="112" priority="123">
      <formula>AND($C$43="ЗАПОЛНИ",$G$44&lt;&gt;"",$G$46&lt;&gt;"")</formula>
    </cfRule>
  </conditionalFormatting>
  <conditionalFormatting sqref="G38">
    <cfRule type="expression" dxfId="111" priority="96" stopIfTrue="1">
      <formula>$H$38="ОШИБКА"</formula>
    </cfRule>
    <cfRule type="cellIs" dxfId="110" priority="97" stopIfTrue="1" operator="notEqual">
      <formula>""</formula>
    </cfRule>
    <cfRule type="expression" dxfId="109" priority="98">
      <formula>$C$34="ЗАПОЛНИ"</formula>
    </cfRule>
  </conditionalFormatting>
  <conditionalFormatting sqref="G30">
    <cfRule type="expression" dxfId="108" priority="94">
      <formula>$G$30=""</formula>
    </cfRule>
    <cfRule type="cellIs" dxfId="107" priority="95" operator="notEqual">
      <formula>""</formula>
    </cfRule>
  </conditionalFormatting>
  <conditionalFormatting sqref="G31">
    <cfRule type="expression" dxfId="106" priority="93">
      <formula>$G$31=0</formula>
    </cfRule>
  </conditionalFormatting>
  <conditionalFormatting sqref="M35">
    <cfRule type="expression" dxfId="105" priority="88" stopIfTrue="1">
      <formula>$N$35="ОШИБКА"</formula>
    </cfRule>
    <cfRule type="cellIs" dxfId="104" priority="89" operator="notEqual">
      <formula>""</formula>
    </cfRule>
    <cfRule type="expression" dxfId="103" priority="90">
      <formula>$N$32=TRUE</formula>
    </cfRule>
  </conditionalFormatting>
  <conditionalFormatting sqref="M31">
    <cfRule type="expression" dxfId="102" priority="87">
      <formula>$M$31=0</formula>
    </cfRule>
  </conditionalFormatting>
  <conditionalFormatting sqref="G52">
    <cfRule type="expression" dxfId="101" priority="78" stopIfTrue="1">
      <formula>$H$52="ОШИБКА"</formula>
    </cfRule>
    <cfRule type="cellIs" dxfId="100" priority="79" stopIfTrue="1" operator="notEqual">
      <formula>""</formula>
    </cfRule>
    <cfRule type="expression" dxfId="99" priority="80">
      <formula>$C$51="ЗАПОЛНИ"</formula>
    </cfRule>
  </conditionalFormatting>
  <conditionalFormatting sqref="M36">
    <cfRule type="expression" dxfId="98" priority="75" stopIfTrue="1">
      <formula>$N$36="ОШИБКА"</formula>
    </cfRule>
    <cfRule type="cellIs" dxfId="97" priority="76" operator="notEqual">
      <formula>""</formula>
    </cfRule>
    <cfRule type="expression" dxfId="96" priority="77">
      <formula>$N$33=TRUE</formula>
    </cfRule>
  </conditionalFormatting>
  <conditionalFormatting sqref="I34">
    <cfRule type="expression" dxfId="95" priority="124" stopIfTrue="1">
      <formula>$I$34="НЕ ЗАПОЛНЯЕТСЯ"</formula>
    </cfRule>
    <cfRule type="expression" dxfId="94" priority="125">
      <formula>AND($I$34="ЗАПОЛНИ",OR($M$35="",$M$36="",$M$38=""))</formula>
    </cfRule>
    <cfRule type="expression" dxfId="93" priority="126">
      <formula>AND($I$34="ЗАПОЛНИ",$M$35&lt;&gt;"",$M$36&lt;&gt;"",$M$38&lt;&gt;"")</formula>
    </cfRule>
  </conditionalFormatting>
  <conditionalFormatting sqref="C51">
    <cfRule type="expression" dxfId="92" priority="127" stopIfTrue="1">
      <formula>$C$51="НЕ ЗАПОЛНЯЕТСЯ"</formula>
    </cfRule>
    <cfRule type="expression" dxfId="91" priority="128">
      <formula>AND($C$51="ЗАПОЛНИ",$G$52="")</formula>
    </cfRule>
    <cfRule type="expression" dxfId="90" priority="129">
      <formula>AND($C$51="ЗАПОЛНИ",$G$52&lt;&gt;"")</formula>
    </cfRule>
  </conditionalFormatting>
  <conditionalFormatting sqref="C34">
    <cfRule type="expression" dxfId="89" priority="130" stopIfTrue="1">
      <formula>$C$34="НЕ ЗАПОЛНЯЕТСЯ"</formula>
    </cfRule>
    <cfRule type="expression" dxfId="88" priority="131">
      <formula>AND($C$34="ЗАПОЛНИ",$G$38="")</formula>
    </cfRule>
    <cfRule type="expression" dxfId="87" priority="132">
      <formula>AND($C$34="ЗАПОЛНИ",$G$38&lt;&gt;"")</formula>
    </cfRule>
  </conditionalFormatting>
  <conditionalFormatting sqref="M44">
    <cfRule type="expression" dxfId="86" priority="71" stopIfTrue="1">
      <formula>$N$44="ОШИБКА"</formula>
    </cfRule>
    <cfRule type="cellIs" dxfId="85" priority="72" operator="notEqual">
      <formula>""</formula>
    </cfRule>
    <cfRule type="expression" dxfId="84" priority="73">
      <formula>$N$41=TRUE</formula>
    </cfRule>
  </conditionalFormatting>
  <conditionalFormatting sqref="M45">
    <cfRule type="expression" dxfId="83" priority="68" stopIfTrue="1">
      <formula>$N$45="ОШИБКА"</formula>
    </cfRule>
    <cfRule type="cellIs" dxfId="82" priority="69" operator="notEqual">
      <formula>""</formula>
    </cfRule>
    <cfRule type="expression" dxfId="81" priority="70">
      <formula>$N$42=TRUE</formula>
    </cfRule>
  </conditionalFormatting>
  <conditionalFormatting sqref="I43">
    <cfRule type="expression" dxfId="80" priority="65" stopIfTrue="1">
      <formula>$I$43="НЕ ЗАПОЛНЯЕТСЯ"</formula>
    </cfRule>
    <cfRule type="expression" dxfId="79" priority="66">
      <formula>AND($I$43="ЗАПОЛНИ",OR($M$44="",$M$45="",$M$47=""))</formula>
    </cfRule>
    <cfRule type="expression" dxfId="78" priority="67">
      <formula>AND($I$43="ЗАПОЛНИ",$M$44&lt;&gt;"",$M$45&lt;&gt;"",$M$47&lt;&gt;"")</formula>
    </cfRule>
  </conditionalFormatting>
  <conditionalFormatting sqref="M38">
    <cfRule type="expression" dxfId="77" priority="62" stopIfTrue="1">
      <formula>$N$38="ОШИБКА"</formula>
    </cfRule>
    <cfRule type="cellIs" dxfId="76" priority="63" operator="notEqual">
      <formula>""</formula>
    </cfRule>
    <cfRule type="expression" dxfId="75" priority="64">
      <formula>$N$34=TRUE</formula>
    </cfRule>
  </conditionalFormatting>
  <conditionalFormatting sqref="M47">
    <cfRule type="expression" dxfId="74" priority="59" stopIfTrue="1">
      <formula>$N$47="ОШИБКА"</formula>
    </cfRule>
    <cfRule type="cellIs" dxfId="73" priority="60" operator="notEqual">
      <formula>""</formula>
    </cfRule>
    <cfRule type="expression" dxfId="72" priority="61">
      <formula>$N$43=TRUE</formula>
    </cfRule>
  </conditionalFormatting>
  <conditionalFormatting sqref="Q37">
    <cfRule type="expression" dxfId="71" priority="55">
      <formula>$R$33=TRUE</formula>
    </cfRule>
    <cfRule type="expression" dxfId="70" priority="56" stopIfTrue="1">
      <formula>$R$37="ОШИБКА"</formula>
    </cfRule>
    <cfRule type="cellIs" dxfId="69" priority="57" operator="notEqual">
      <formula>""</formula>
    </cfRule>
  </conditionalFormatting>
  <conditionalFormatting sqref="H44">
    <cfRule type="expression" dxfId="68" priority="53">
      <formula>OR($H$44="см. блок 1 параметр 5",$H$44="ОШИБКА")</formula>
    </cfRule>
  </conditionalFormatting>
  <conditionalFormatting sqref="K18">
    <cfRule type="expression" dxfId="67" priority="52">
      <formula>$K$18="рекомендуется тип К, см. блок 3"</formula>
    </cfRule>
  </conditionalFormatting>
  <conditionalFormatting sqref="N36">
    <cfRule type="expression" dxfId="66" priority="38">
      <formula>OR($N$45="ОШИБКА",$R$42="ОШИБКА")</formula>
    </cfRule>
    <cfRule type="expression" dxfId="65" priority="51">
      <formula>OR($N$36="ОШИБКА должно быть одинаковым",$N$36="ОШИБКА")</formula>
    </cfRule>
  </conditionalFormatting>
  <conditionalFormatting sqref="H38">
    <cfRule type="cellIs" dxfId="62" priority="49" operator="equal">
      <formula>"ОШИБКА"</formula>
    </cfRule>
  </conditionalFormatting>
  <conditionalFormatting sqref="H43">
    <cfRule type="cellIs" dxfId="61" priority="48" operator="equal">
      <formula>"ОШИБКА"</formula>
    </cfRule>
  </conditionalFormatting>
  <conditionalFormatting sqref="H46">
    <cfRule type="cellIs" dxfId="60" priority="47" operator="equal">
      <formula>"ОШИБКА"</formula>
    </cfRule>
  </conditionalFormatting>
  <conditionalFormatting sqref="H52">
    <cfRule type="cellIs" dxfId="59" priority="46" operator="equal">
      <formula>"ОШИБКА"</formula>
    </cfRule>
  </conditionalFormatting>
  <conditionalFormatting sqref="N35">
    <cfRule type="cellIs" dxfId="58" priority="45" operator="equal">
      <formula>"ОШИБКА"</formula>
    </cfRule>
  </conditionalFormatting>
  <conditionalFormatting sqref="N38">
    <cfRule type="cellIs" dxfId="57" priority="44" operator="equal">
      <formula>"ОШИБКА"</formula>
    </cfRule>
  </conditionalFormatting>
  <conditionalFormatting sqref="N44">
    <cfRule type="cellIs" dxfId="56" priority="43" operator="equal">
      <formula>"ОШИБКА"</formula>
    </cfRule>
  </conditionalFormatting>
  <conditionalFormatting sqref="R37:R38">
    <cfRule type="cellIs" dxfId="54" priority="40" operator="equal">
      <formula>"ОШИБКА"</formula>
    </cfRule>
  </conditionalFormatting>
  <conditionalFormatting sqref="Q52">
    <cfRule type="expression" dxfId="53" priority="36">
      <formula>$Q$52=""</formula>
    </cfRule>
    <cfRule type="cellIs" dxfId="52" priority="37" operator="notEqual">
      <formula>""</formula>
    </cfRule>
  </conditionalFormatting>
  <conditionalFormatting sqref="Q53">
    <cfRule type="expression" dxfId="51" priority="35">
      <formula>$Q$53=0</formula>
    </cfRule>
  </conditionalFormatting>
  <conditionalFormatting sqref="R40">
    <cfRule type="cellIs" dxfId="50" priority="34" operator="equal">
      <formula>"ОШИБКА"</formula>
    </cfRule>
  </conditionalFormatting>
  <conditionalFormatting sqref="O39">
    <cfRule type="expression" dxfId="49" priority="31" stopIfTrue="1">
      <formula>$O$39="НЕ ЗАПОЛНЯЕТСЯ"</formula>
    </cfRule>
    <cfRule type="expression" dxfId="48" priority="32">
      <formula>AND($O$39="ЗАПОЛНИ",$Q$40="")</formula>
    </cfRule>
    <cfRule type="expression" dxfId="47" priority="33">
      <formula>AND($O$39="ЗАПОЛНИ",$Q$40&lt;&gt;"")</formula>
    </cfRule>
  </conditionalFormatting>
  <conditionalFormatting sqref="Q42">
    <cfRule type="expression" dxfId="46" priority="28" stopIfTrue="1">
      <formula>$R$42="ОШИБКА"</formula>
    </cfRule>
    <cfRule type="cellIs" dxfId="45" priority="29" operator="notEqual">
      <formula>""</formula>
    </cfRule>
    <cfRule type="expression" dxfId="44" priority="30">
      <formula>$R$41=TRUE</formula>
    </cfRule>
  </conditionalFormatting>
  <conditionalFormatting sqref="Q40">
    <cfRule type="expression" dxfId="43" priority="25" stopIfTrue="1">
      <formula>$R$40="ОШИБКА"</formula>
    </cfRule>
    <cfRule type="cellIs" dxfId="42" priority="26" operator="notEqual">
      <formula>""</formula>
    </cfRule>
    <cfRule type="expression" dxfId="41" priority="27">
      <formula>$R$39=TRUE</formula>
    </cfRule>
  </conditionalFormatting>
  <conditionalFormatting sqref="R42">
    <cfRule type="expression" dxfId="40" priority="23">
      <formula>OR($N$45="ОШИБКА",$N$36="ОШИБКА")</formula>
    </cfRule>
    <cfRule type="expression" dxfId="39" priority="24">
      <formula>OR($R$42="ОШИБКА должно быть одинаковым",$R$42="ОШИБКА")</formula>
    </cfRule>
  </conditionalFormatting>
  <conditionalFormatting sqref="O41">
    <cfRule type="expression" dxfId="38" priority="20" stopIfTrue="1">
      <formula>$O$41="НЕ ЗАПОЛНЯЕТСЯ"</formula>
    </cfRule>
    <cfRule type="expression" dxfId="37" priority="21">
      <formula>AND($O$41="ЗАПОЛНИ",$Q$42="")</formula>
    </cfRule>
    <cfRule type="expression" dxfId="36" priority="22">
      <formula>AND($O$41="ЗАПОЛНИ",$Q$42&lt;&gt;"")</formula>
    </cfRule>
  </conditionalFormatting>
  <conditionalFormatting sqref="A1:E25">
    <cfRule type="expression" priority="18">
      <formula>OR($H$38="ОШИБКА",$H$43="ОШИБКА")</formula>
    </cfRule>
    <cfRule type="expression" priority="19">
      <formula>OR($R$35="ОШИБКА")</formula>
    </cfRule>
  </conditionalFormatting>
  <conditionalFormatting sqref="O34">
    <cfRule type="expression" dxfId="9" priority="5" stopIfTrue="1">
      <formula>OR($O$34="НЕ ЗАПОЛНЯЕТСЯ",$R$37="ОШИБКА")</formula>
    </cfRule>
    <cfRule type="expression" dxfId="8" priority="6">
      <formula>AND($O$34="ЗАПОЛНИ",$Q$37="")</formula>
    </cfRule>
    <cfRule type="expression" dxfId="7" priority="7">
      <formula>AND($O$34="ЗАПОЛНИ",$Q$37&lt;&gt;"")</formula>
    </cfRule>
  </conditionalFormatting>
  <conditionalFormatting sqref="R35">
    <cfRule type="cellIs" dxfId="6" priority="4" operator="equal">
      <formula>"ОШИБКА"</formula>
    </cfRule>
  </conditionalFormatting>
  <conditionalFormatting sqref="N45">
    <cfRule type="expression" dxfId="2" priority="1">
      <formula>OR($N$36="ОШИБКА",$R$42="ОШИБКА")</formula>
    </cfRule>
    <cfRule type="expression" dxfId="1" priority="3">
      <formula>OR($N$45="ОШИБКА должно быть одинаковым",$N$45="ОШИБКА")</formula>
    </cfRule>
  </conditionalFormatting>
  <conditionalFormatting sqref="N47">
    <cfRule type="cellIs" dxfId="0" priority="2" operator="equal">
      <formula>"ОШИБКА"</formula>
    </cfRule>
  </conditionalFormatting>
  <dataValidations count="1">
    <dataValidation type="list" allowBlank="1" showInputMessage="1" showErrorMessage="1" sqref="G48">
      <formula1>$D$36:$D$49</formula1>
    </dataValidation>
  </dataValidations>
  <pageMargins left="0.7" right="0.7" top="0.75" bottom="0.75" header="0.3" footer="0.3"/>
  <pageSetup paperSize="9" scale="30" orientation="portrait" r:id="rId1"/>
  <rowBreaks count="1" manualBreakCount="1">
    <brk id="25" max="18" man="1"/>
  </rowBreaks>
  <ignoredErrors>
    <ignoredError sqref="R4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'-'!$E$9:$E$12</xm:f>
          </x14:formula1>
          <xm:sqref>Q40</xm:sqref>
        </x14:dataValidation>
        <x14:dataValidation type="list" allowBlank="1" showInputMessage="1" showErrorMessage="1">
          <x14:formula1>
            <xm:f>'-'!$E$45:$E$48</xm:f>
          </x14:formula1>
          <xm:sqref>M35</xm:sqref>
        </x14:dataValidation>
        <x14:dataValidation type="list" allowBlank="1" showInputMessage="1" showErrorMessage="1">
          <x14:formula1>
            <xm:f>'-'!$E$40:$E$44</xm:f>
          </x14:formula1>
          <xm:sqref>G52</xm:sqref>
        </x14:dataValidation>
        <x14:dataValidation type="list" allowBlank="1" showInputMessage="1" showErrorMessage="1">
          <x14:formula1>
            <xm:f>'-'!$E$23:$E$25</xm:f>
          </x14:formula1>
          <xm:sqref>G46</xm:sqref>
        </x14:dataValidation>
        <x14:dataValidation type="list" allowBlank="1" showInputMessage="1" showErrorMessage="1">
          <x14:formula1>
            <xm:f>'-'!$E$20:$E$22</xm:f>
          </x14:formula1>
          <xm:sqref>G44</xm:sqref>
        </x14:dataValidation>
        <x14:dataValidation type="list" allowBlank="1" showInputMessage="1" showErrorMessage="1">
          <x14:formula1>
            <xm:f>'-'!$O$1:$O$3</xm:f>
          </x14:formula1>
          <xm:sqref>Q16</xm:sqref>
        </x14:dataValidation>
        <x14:dataValidation type="list" allowBlank="1" showInputMessage="1" showErrorMessage="1">
          <x14:formula1>
            <xm:f>'-'!$N$1:$N$3</xm:f>
          </x14:formula1>
          <xm:sqref>P16</xm:sqref>
        </x14:dataValidation>
        <x14:dataValidation type="list" allowBlank="1" showInputMessage="1" showErrorMessage="1">
          <x14:formula1>
            <xm:f>'-'!$L$1:$L$3</xm:f>
          </x14:formula1>
          <xm:sqref>N16</xm:sqref>
        </x14:dataValidation>
        <x14:dataValidation type="list" allowBlank="1" showInputMessage="1" showErrorMessage="1">
          <x14:formula1>
            <xm:f>'-'!$K$1:$K$3</xm:f>
          </x14:formula1>
          <xm:sqref>M16</xm:sqref>
        </x14:dataValidation>
        <x14:dataValidation type="list" allowBlank="1" showInputMessage="1" showErrorMessage="1">
          <x14:formula1>
            <xm:f>'-'!$I$1:$I$3</xm:f>
          </x14:formula1>
          <xm:sqref>K16</xm:sqref>
        </x14:dataValidation>
        <x14:dataValidation type="list" allowBlank="1" showInputMessage="1" showErrorMessage="1">
          <x14:formula1>
            <xm:f>'-'!$H$1:$H$3</xm:f>
          </x14:formula1>
          <xm:sqref>J16</xm:sqref>
        </x14:dataValidation>
        <x14:dataValidation type="list" allowBlank="1" showInputMessage="1" showErrorMessage="1">
          <x14:formula1>
            <xm:f>'-'!$E$1:$E$3</xm:f>
          </x14:formula1>
          <xm:sqref>G16</xm:sqref>
        </x14:dataValidation>
        <x14:dataValidation type="list" allowBlank="1" showInputMessage="1" showErrorMessage="1">
          <x14:formula1>
            <xm:f>'-'!$E$53:$E$55</xm:f>
          </x14:formula1>
          <xm:sqref>Q37</xm:sqref>
        </x14:dataValidation>
        <x14:dataValidation type="list" allowBlank="1" showInputMessage="1" showErrorMessage="1">
          <x14:formula1>
            <xm:f>'-'!$E$56:$E$60</xm:f>
          </x14:formula1>
          <xm:sqref>M36 Q42 M45</xm:sqref>
        </x14:dataValidation>
        <x14:dataValidation type="list" allowBlank="1" showInputMessage="1" showErrorMessage="1">
          <x14:formula1>
            <xm:f>'-'!$E$49:$E$52</xm:f>
          </x14:formula1>
          <xm:sqref>M44</xm:sqref>
        </x14:dataValidation>
        <x14:dataValidation type="list" allowBlank="1" showInputMessage="1" showErrorMessage="1">
          <x14:formula1>
            <xm:f>'-'!$E$27:$E$39</xm:f>
          </x14:formula1>
          <xm:sqref>G40</xm:sqref>
        </x14:dataValidation>
        <x14:dataValidation type="list" allowBlank="1" showInputMessage="1" showErrorMessage="1">
          <x14:formula1>
            <xm:f>'-'!$E$26:$E$39</xm:f>
          </x14:formula1>
          <xm:sqref>G38</xm:sqref>
        </x14:dataValidation>
        <x14:dataValidation type="list" allowBlank="1" showInputMessage="1" showErrorMessage="1">
          <x14:formula1>
            <xm:f>'-'!$E$61:$E$63</xm:f>
          </x14:formula1>
          <xm:sqref>M38 M47</xm:sqref>
        </x14:dataValidation>
        <x14:dataValidation type="list" allowBlank="1" showInputMessage="1" showErrorMessage="1">
          <x14:formula1>
            <xm:f>'-'!$E$5:$E$8</xm:f>
          </x14:formula1>
          <xm:sqref>G30</xm:sqref>
        </x14:dataValidation>
        <x14:dataValidation type="list" allowBlank="1" showInputMessage="1" showErrorMessage="1">
          <x14:formula1>
            <xm:f>'-'!$E$67:$E$73</xm:f>
          </x14:formula1>
          <xm:sqref>Q52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80"/>
  <sheetViews>
    <sheetView zoomScale="70" zoomScaleNormal="70" workbookViewId="0">
      <selection sqref="A1:E1"/>
    </sheetView>
  </sheetViews>
  <sheetFormatPr defaultRowHeight="15" x14ac:dyDescent="0.2"/>
  <cols>
    <col min="1" max="1" width="5.83203125" style="99" customWidth="1"/>
    <col min="2" max="2" width="30.83203125" style="99" customWidth="1"/>
    <col min="3" max="3" width="224.83203125" style="100" bestFit="1" customWidth="1"/>
    <col min="4" max="4" width="10.83203125" style="99" customWidth="1"/>
    <col min="5" max="5" width="110.83203125" style="100" bestFit="1" customWidth="1"/>
    <col min="6" max="6" width="9.33203125" style="94"/>
    <col min="7" max="7" width="10.83203125" style="94" bestFit="1" customWidth="1"/>
    <col min="8" max="16384" width="9.33203125" style="94"/>
  </cols>
  <sheetData>
    <row r="1" spans="1:5" s="93" customFormat="1" ht="30" customHeight="1" thickBot="1" x14ac:dyDescent="0.3">
      <c r="A1" s="134" t="s">
        <v>179</v>
      </c>
      <c r="B1" s="135"/>
      <c r="C1" s="135"/>
      <c r="D1" s="135"/>
      <c r="E1" s="136"/>
    </row>
    <row r="2" spans="1:5" x14ac:dyDescent="0.2">
      <c r="A2" s="199" t="s">
        <v>155</v>
      </c>
      <c r="B2" s="199" t="s">
        <v>0</v>
      </c>
      <c r="C2" s="199" t="s">
        <v>156</v>
      </c>
      <c r="D2" s="199" t="s">
        <v>1</v>
      </c>
      <c r="E2" s="199" t="s">
        <v>157</v>
      </c>
    </row>
    <row r="3" spans="1:5" ht="15.75" thickBot="1" x14ac:dyDescent="0.25">
      <c r="A3" s="200"/>
      <c r="B3" s="200"/>
      <c r="C3" s="200"/>
      <c r="D3" s="200"/>
      <c r="E3" s="200"/>
    </row>
    <row r="4" spans="1:5" x14ac:dyDescent="0.2">
      <c r="A4" s="95" t="str">
        <f>IF(B4&lt;&gt;"",1,"")</f>
        <v/>
      </c>
      <c r="B4" s="95" t="str">
        <f>IF(AND('Опросный лист 1 (заполняется)'!$J$16=6,'Опросный лист 1 (заполняется)'!$K$16="K"),'-'!$A$9,IF(AND('Опросный лист 1 (заполняется)'!$J$16=6,'Опросный лист 1 (заполняется)'!$K$16="A"),'-'!$A$7,IF(AND('Опросный лист 1 (заполняется)'!$J$16=4,'Опросный лист 1 (заполняется)'!$K$16="K"),'-'!$A$9,IF(AND('Опросный лист 1 (заполняется)'!$J$16=4,'Опросный лист 1 (заполняется)'!$K$16="A"),'-'!$A$7,""))))</f>
        <v/>
      </c>
      <c r="C4" s="96" t="str">
        <f>_xlfn.IFNA(VLOOKUP($B$4,'-'!$A:$B,2,0),"")</f>
        <v/>
      </c>
      <c r="D4" s="95" t="str">
        <f>IF($B$4&lt;&gt;"",'Опросный лист 1 (заполняется)'!$P$23,"")</f>
        <v/>
      </c>
      <c r="E4" s="96" t="str">
        <f>IF($B$4&lt;&gt;"",IF(AND($B$4='-'!$A$7,'Опросный лист 1 (заполняется)'!$J$16=4),"ЗАМЕНА, ВН на 400А только под заказ",IF(AND($B$4='-'!$A$9,'Опросный лист 1 (заполняется)'!$J$16=4),"ЗАМЕНА, ВН на 400А только под заказ"," ")),"")</f>
        <v/>
      </c>
    </row>
    <row r="5" spans="1:5" x14ac:dyDescent="0.2">
      <c r="A5" s="95" t="str">
        <f>IF(B5&lt;&gt;"",IF(A4&lt;&gt;"",A4+1,""),"")</f>
        <v/>
      </c>
      <c r="B5" s="95" t="str">
        <f>IF($B$4&lt;&gt;"",IF(AND('Опросный лист 1 (заполняется)'!$G$16="F",'Опросный лист 1 (заполняется)'!$K$16="A",'Опросный лист 1 (заполняется)'!$G$36="+",'Опросный лист 1 (заполняется)'!$G$37="-",'Опросный лист 1 (заполняется)'!$G$44="+"),'-'!$A$10,IF(AND('Опросный лист 1 (заполняется)'!$G$16="F",'Опросный лист 1 (заполняется)'!$K$16="A",'Опросный лист 1 (заполняется)'!$G$36="+",'Опросный лист 1 (заполняется)'!$G$37="-",'Опросный лист 1 (заполняется)'!$G$44="-"),'-'!$A$11,IF(AND('Опросный лист 1 (заполняется)'!$G$16="F",'Опросный лист 1 (заполняется)'!$K$16="K",'Опросный лист 1 (заполняется)'!$G$36="+",'Опросный лист 1 (заполняется)'!$G$37="-",'Опросный лист 1 (заполняется)'!$G$44=""),'-'!$A$11,""))),"")</f>
        <v/>
      </c>
      <c r="C5" s="96" t="str">
        <f>_xlfn.IFNA(VLOOKUP($B$5,'-'!$A:$B,2,0),"")</f>
        <v/>
      </c>
      <c r="D5" s="95" t="str">
        <f>IF($B$5&lt;&gt;"",'Опросный лист 1 (заполняется)'!$P$23,"")</f>
        <v/>
      </c>
      <c r="E5" s="96" t="str">
        <f>IF($B$5&lt;&gt;""," ","")</f>
        <v/>
      </c>
    </row>
    <row r="6" spans="1:5" x14ac:dyDescent="0.2">
      <c r="A6" s="95" t="str">
        <f>IF(B6&lt;&gt;"",IF(A5&lt;&gt;"",A5+1,IF(A4&lt;&gt;"",A4+1,"")),"")</f>
        <v/>
      </c>
      <c r="B6" s="95" t="str">
        <f>IF($B$4&lt;&gt;"",IF(AND('Опросный лист 1 (заполняется)'!$N$16="E",AND($B$5&lt;&gt;'-'!$A$10,$B$5&lt;&gt;'-'!$A$11)),'-'!$A$14,IF(AND('Опросный лист 1 (заполняется)'!$N$16="E",OR($B$5='-'!$A$10,$B$5='-'!$A$11)),'-'!$A$15,"")),"")</f>
        <v/>
      </c>
      <c r="C6" s="96" t="str">
        <f>_xlfn.IFNA(VLOOKUP($B$6,'-'!$A:$B,2,0),"")</f>
        <v/>
      </c>
      <c r="D6" s="95" t="str">
        <f>IF($B$6&lt;&gt;"",'Опросный лист 1 (заполняется)'!$P$23,"")</f>
        <v/>
      </c>
      <c r="E6" s="96" t="str">
        <f>IF($B$6&lt;&gt;""," ","")</f>
        <v/>
      </c>
    </row>
    <row r="7" spans="1:5" x14ac:dyDescent="0.2">
      <c r="A7" s="95" t="str">
        <f>IF(B7&lt;&gt;"",IF(A6&lt;&gt;"",A6+1,IF(A5&lt;&gt;"",A5+1,A4+1)),"")</f>
        <v/>
      </c>
      <c r="B7" s="95" t="str">
        <f>IF($B$4&lt;&gt;"",IF(AND($B$6='-'!$A$14,'Опросный лист 1 (заполняется)'!$M$38="+"),'-'!$A$24,IF(AND($B$6='-'!$A$15,'Опросный лист 1 (заполняется)'!$M$38="+"),'-'!$A$25,"")),"")</f>
        <v/>
      </c>
      <c r="C7" s="96" t="str">
        <f>_xlfn.IFNA(VLOOKUP($B$7,'-'!$A:$B,2,0),"")</f>
        <v/>
      </c>
      <c r="D7" s="95" t="str">
        <f>IF($B$7&lt;&gt;"",'Опросный лист 1 (заполняется)'!$P$23,"")</f>
        <v/>
      </c>
      <c r="E7" s="96" t="str">
        <f>IF($B$7&lt;&gt;""," ","")</f>
        <v/>
      </c>
    </row>
    <row r="8" spans="1:5" x14ac:dyDescent="0.2">
      <c r="A8" s="95" t="str">
        <f>IF(B8&lt;&gt;"",IF(A7&lt;&gt;"",A7+1,IF(A6&lt;&gt;"",A6+1,IF(A5&lt;&gt;"",A5+1,A4+1))),"")</f>
        <v/>
      </c>
      <c r="B8" s="95" t="str">
        <f>IF($B$4&lt;&gt;"",IF('Опросный лист 1 (заполняется)'!$Q$16="EB",'-'!$A$16,""),"")</f>
        <v/>
      </c>
      <c r="C8" s="96" t="str">
        <f>_xlfn.IFNA(VLOOKUP($B$8,'-'!$A:$B,2,0),"")</f>
        <v/>
      </c>
      <c r="D8" s="95" t="str">
        <f>IF($B$8&lt;&gt;"",'Опросный лист 1 (заполняется)'!$P$23,"")</f>
        <v/>
      </c>
      <c r="E8" s="96" t="str">
        <f>IF($B$8&lt;&gt;""," ","")</f>
        <v/>
      </c>
    </row>
    <row r="9" spans="1:5" x14ac:dyDescent="0.2">
      <c r="A9" s="95" t="str">
        <f>IF(B9&lt;&gt;"",IF(A8&lt;&gt;"",A8+1,IF(A7&lt;&gt;"",A7+1,IF(A6&lt;&gt;"",A6+1,IF(A5&lt;&gt;"",A5+1,A4+1)))),"")</f>
        <v/>
      </c>
      <c r="B9" s="95" t="str">
        <f>IF($B$4&lt;&gt;"",IF(AND($B$8='-'!$A$16,'Опросный лист 1 (заполняется)'!$M$47="+",'Опросный лист 1 (заполняется)'!$N$47&lt;&gt;"ОШИБКА"),'-'!$A$24,""),"")</f>
        <v/>
      </c>
      <c r="C9" s="96" t="str">
        <f>_xlfn.IFNA(VLOOKUP($B$9,'-'!$A:$B,2,0),"")</f>
        <v/>
      </c>
      <c r="D9" s="95" t="str">
        <f>IF($B$9&lt;&gt;"",'Опросный лист 1 (заполняется)'!$P$23,"")</f>
        <v/>
      </c>
      <c r="E9" s="96" t="str">
        <f>IF($B$9&lt;&gt;""," ","")</f>
        <v/>
      </c>
    </row>
    <row r="10" spans="1:5" x14ac:dyDescent="0.2">
      <c r="A10" s="95" t="str">
        <f>IF(B10&lt;&gt;"",IF(A9&lt;&gt;"",A9+1,IF(A8&lt;&gt;"",A8+1,IF(A7&lt;&gt;"",A7+1,IF(A6&lt;&gt;"",A6+1,IF(A5&lt;&gt;"",A5+1,A4+1))))),"")</f>
        <v/>
      </c>
      <c r="B10" s="95" t="str">
        <f>IF(AND($B$4&lt;&gt;"",OR($B$7&lt;&gt;"",$B$9&lt;&gt;"",'Опросный лист 1 (заполняется)'!$M$16="L")),'-'!$A$18,"")</f>
        <v/>
      </c>
      <c r="C10" s="96" t="str">
        <f>_xlfn.IFNA(VLOOKUP($B$10,'-'!$A:$B,2,0),"")</f>
        <v/>
      </c>
      <c r="D10" s="95" t="str">
        <f>IF($B$10&lt;&gt;"",'Опросный лист 1 (заполняется)'!$P$23,"")</f>
        <v/>
      </c>
      <c r="E10" s="96" t="str">
        <f>IF($B$10&lt;&gt;""," ","")</f>
        <v/>
      </c>
    </row>
    <row r="11" spans="1:5" x14ac:dyDescent="0.2">
      <c r="A11" s="95" t="str">
        <f>IF(B11&lt;&gt;"",IF(A10&lt;&gt;"",A10+1,IF(A9&lt;&gt;"",A9+1,IF(A8&lt;&gt;"",A8+1,IF(A7&lt;&gt;"",A7+1,IF(A6&lt;&gt;"",A6+1,IF(A5&lt;&gt;"",A5+1,A4+1)))))),"")</f>
        <v/>
      </c>
      <c r="B11" s="95" t="str">
        <f>IF($B$4&lt;&gt;"",IF(OR($B$6&lt;&gt;"",$B$8&lt;&gt;""),'-'!$A$26,""),"")</f>
        <v/>
      </c>
      <c r="C11" s="96" t="str">
        <f>_xlfn.IFNA(VLOOKUP($B$11,'-'!$A:$B,2,0),"")</f>
        <v/>
      </c>
      <c r="D11" s="95" t="str">
        <f>IF($B$11&lt;&gt;"",IF(AND($B$4&lt;&gt;"",$B$6&lt;&gt;"",$B$8&lt;&gt;""),'Опросный лист 1 (заполняется)'!$P$23*3,IF(OR(AND($B$4&lt;&gt;"",$B$6&lt;&gt;""),AND($B$4&lt;&gt;"",$B$8&lt;&gt;""),AND($B$6&lt;&gt;"",$B$8&lt;&gt;"")),'Опросный лист 1 (заполняется)'!$P$23*2,'Опросный лист 1 (заполняется)'!$P$23)),"")</f>
        <v/>
      </c>
      <c r="E11" s="96" t="str">
        <f>IF($B$11&lt;&gt;""," ","")</f>
        <v/>
      </c>
    </row>
    <row r="12" spans="1:5" x14ac:dyDescent="0.2">
      <c r="A12" s="95" t="str">
        <f t="shared" ref="A12" si="0">IF(B12&lt;&gt;"",IF(A11&lt;&gt;"",A11+1,IF(A10&lt;&gt;"",A10+1,IF(A9&lt;&gt;"",A9+1,IF(A8&lt;&gt;"",A8+1,IF(A7&lt;&gt;"",A7+1,IF(A6&lt;&gt;"",A6+1,IF(A5&lt;&gt;"",A5+1,A4+1))))))),"")</f>
        <v/>
      </c>
      <c r="B12" s="95" t="str">
        <f>IF($B$4&lt;&gt;"",IF($B$11&lt;&gt;"",'-'!$A$27,""),"")</f>
        <v/>
      </c>
      <c r="C12" s="96" t="str">
        <f>_xlfn.IFNA(VLOOKUP($B$12,'-'!$A:$B,2,0),"")</f>
        <v/>
      </c>
      <c r="D12" s="95" t="str">
        <f>$D$11</f>
        <v/>
      </c>
      <c r="E12" s="96" t="str">
        <f>IF($B$12&lt;&gt;""," ","")</f>
        <v/>
      </c>
    </row>
    <row r="13" spans="1:5" x14ac:dyDescent="0.2">
      <c r="A13" s="95" t="str">
        <f>IF(B13&lt;&gt;"",IF(A12&lt;&gt;"",A12+1,IF(A11&lt;&gt;"",A11+1,IF(A10&lt;&gt;"",A10+1,IF(A9&lt;&gt;"",A9+1,IF(A8&lt;&gt;"",A8+1,IF(A7&lt;&gt;"",A7+1,IF(A6&lt;&gt;"",A6+1,IF(A5&lt;&gt;"",A5+1,A4+1)))))))),"")</f>
        <v/>
      </c>
      <c r="B13" s="95" t="str">
        <f>IF($B$4&lt;&gt;"",IF(AND('Опросный лист 1 (заполняется)'!$P$16="NM",'Опросный лист 1 (заполняется)'!$Q$37=24),'-'!$A$20,IF(AND('Опросный лист 1 (заполняется)'!$P$16="NM",'Опросный лист 1 (заполняется)'!$Q$37=220),'-'!$A$19,"")),"")</f>
        <v/>
      </c>
      <c r="C13" s="96" t="str">
        <f>_xlfn.IFNA(VLOOKUP($B$13,'-'!$A:$B,2,0),"")</f>
        <v/>
      </c>
      <c r="D13" s="95" t="str">
        <f>IF($B$13&lt;&gt;"",'Опросный лист 1 (заполняется)'!$P$23,"")</f>
        <v/>
      </c>
      <c r="E13" s="96" t="str">
        <f>IF($B$13&lt;&gt;""," ","")</f>
        <v/>
      </c>
    </row>
    <row r="14" spans="1:5" x14ac:dyDescent="0.2">
      <c r="A14" s="95" t="str">
        <f>IF(B14&lt;&gt;"",IF(A13&lt;&gt;"",A13+1,IF(A12&lt;&gt;"",A12+1,IF(A11&lt;&gt;"",A11+1,IF(A10&lt;&gt;"",A10+1,IF(A9&lt;&gt;"",A9+1,IF(A8&lt;&gt;"",A8+1,IF(A7&lt;&gt;"",A7+1,IF(A6&lt;&gt;"",A6+1,IF(A5&lt;&gt;"",A5+1,A4+1))))))))),"")</f>
        <v/>
      </c>
      <c r="B14" s="95" t="str">
        <f>IF($B$4&lt;&gt;"",IF($B$13&lt;&gt;"",IF(OR('Опросный лист 1 (заполняется)'!$G$30=750,'Опросный лист 1 (заполняется)'!$G$30=800),IF(AND('Опросный лист 1 (заполняется)'!$Q$35="справа",'Опросный лист 1 (заполняется)'!$K$16="A"),'-'!$A$22,IF(AND('Опросный лист 1 (заполняется)'!$Q$35="справа",'Опросный лист 1 (заполняется)'!$K$16="K"),'-'!$A$21,IF(AND('Опросный лист 1 (заполняется)'!$Q$35="слева",OR('Опросный лист 1 (заполняется)'!$K$16="K",'Опросный лист 1 (заполняется)'!$K$16="A")),'-'!$A$21,""))),IF('Опросный лист 1 (заполняется)'!$G$30=1000,IF(AND('Опросный лист 1 (заполняется)'!$Q$35="справа",'Опросный лист 1 (заполняется)'!$K$16="A"),'-'!$A$22,IF(AND('Опросный лист 1 (заполняется)'!$Q$35="справа",'Опросный лист 1 (заполняется)'!$K$16="K"),'-'!$A$21,IF(AND('Опросный лист 1 (заполняется)'!$Q$35="слева",OR('Опросный лист 1 (заполняется)'!$K$16="K",'Опросный лист 1 (заполняется)'!$K$16="A"),'Опросный лист 1 (заполняется)'!$Q$16="EB",'Опросный лист 1 (заполняется)'!$M$47="+",'Опросный лист 1 (заполняется)'!$M$16="R"),'-'!$A$21,IF(AND('Опросный лист 1 (заполняется)'!$Q$35="слева",OR('Опросный лист 1 (заполняется)'!$K$16="K",'Опросный лист 1 (заполняется)'!$K$16="A"),OR(AND('Опросный лист 1 (заполняется)'!$Q$16="EB",'Опросный лист 1 (заполняется)'!$M$47="-"),'Опросный лист 1 (заполняется)'!$Q$16="_"),'Опросный лист 1 (заполняется)'!$M$16="R"),'-'!$A$23,"")))),"")),""),"")</f>
        <v/>
      </c>
      <c r="C14" s="96" t="str">
        <f>_xlfn.IFNA(VLOOKUP($B$14,'-'!$A:$B,2,0),"")</f>
        <v/>
      </c>
      <c r="D14" s="95" t="str">
        <f>IF($B$14&lt;&gt;"",'Опросный лист 1 (заполняется)'!$P$23,"")</f>
        <v/>
      </c>
      <c r="E14" s="96" t="str">
        <f>IF($B$14&lt;&gt;"","особенности применения описаны в статье на сайте (см. QR-код на опроснике)","")</f>
        <v/>
      </c>
    </row>
    <row r="15" spans="1:5" x14ac:dyDescent="0.2">
      <c r="A15" s="95" t="str">
        <f>IF(B15&lt;&gt;"",IF(A14&lt;&gt;"",A14+1,IF(A13&lt;&gt;"",A13+1,IF(A12&lt;&gt;"",A12+1,IF(A11&lt;&gt;"",A11+1,IF(A10&lt;&gt;"",A10+1,IF(A9&lt;&gt;"",A9+1,IF(A8&lt;&gt;"",A8+1,IF(A7&lt;&gt;"",A7+1,IF(A6&lt;&gt;"",A6+1,IF(A5&lt;&gt;"",A5+1,A4+1)))))))))),"")</f>
        <v/>
      </c>
      <c r="B15" s="95" t="str">
        <f>IF($B$4&lt;&gt;"",IF(AND($B$4&lt;&gt;"",$B$13&lt;&gt;""),'-'!$A$28,""),"")</f>
        <v/>
      </c>
      <c r="C15" s="96" t="str">
        <f>_xlfn.IFNA(VLOOKUP($B$15,'-'!$A:$B,2,0),"")</f>
        <v/>
      </c>
      <c r="D15" s="95" t="str">
        <f>IF($B$15&lt;&gt;"",IF($B$15='-'!$A$28,'Опросный лист 1 (заполняется)'!$P$23,IF(AND(AND($B$4&lt;&gt;"",$B$13="",'Опросный лист 1 (заполняется)'!$Q$42="-"),AND($B$6&lt;&gt;"",'Опросный лист 1 (заполняется)'!$M$36="-"),AND($B$8&lt;&gt;"",'Опросный лист 1 (заполняется)'!$M$45="-")),'Опросный лист 1 (заполняется)'!$P$23*3,IF(OR(AND(AND($B$4&lt;&gt;"",$B$13="",'Опросный лист 1 (заполняется)'!$Q$42="-"),AND($B$6&lt;&gt;"",'Опросный лист 1 (заполняется)'!$M$36="-")),AND(AND($B$4&lt;&gt;"",$B$13="",'Опросный лист 1 (заполняется)'!$Q$42="-"),AND($B$8&lt;&gt;"",'Опросный лист 1 (заполняется)'!$M$45="-")),AND(AND($B$6&lt;&gt;"",'Опросный лист 1 (заполняется)'!$M$36="-"),AND($B$8&lt;&gt;"",'Опросный лист 1 (заполняется)'!$M$45="-"))),'Опросный лист 1 (заполняется)'!$P$23*2,'Опросный лист 1 (заполняется)'!$P$23))),"")</f>
        <v/>
      </c>
      <c r="E15" s="96" t="str">
        <f>IF($B$15&lt;&gt;""," ","")</f>
        <v/>
      </c>
    </row>
    <row r="16" spans="1:5" x14ac:dyDescent="0.2">
      <c r="A16" s="95" t="str">
        <f>IF(B16&lt;&gt;"",IF(A15&lt;&gt;"",A15+1,IF(A14&lt;&gt;"",A14+1,IF(A13&lt;&gt;"",A13+1,IF(A12&lt;&gt;"",A12+1,IF(A11&lt;&gt;"",A11+1,IF(A10&lt;&gt;"",A10+1,IF(A9&lt;&gt;"",A9+1,IF(A8&lt;&gt;"",A8+1,IF(A7&lt;&gt;"",A7+1,IF(A6&lt;&gt;"",A6+1,IF(A5&lt;&gt;"",A5+1,A4+1))))))))))),"")</f>
        <v/>
      </c>
      <c r="B16" s="95" t="str">
        <f>IF($B$4&lt;&gt;"",IF(OR(AND($B$4&lt;&gt;"",$B$13="",'Опросный лист 1 (заполняется)'!$Q$42="-"),AND($B$6&lt;&gt;"",'Опросный лист 1 (заполняется)'!$M$36="-"),AND($B$8&lt;&gt;"",'Опросный лист 1 (заполняется)'!$M$45="-")),'-'!$A$29,""),"")</f>
        <v/>
      </c>
      <c r="C16" s="96" t="str">
        <f>_xlfn.IFNA(VLOOKUP($B$16,'-'!$A:$B,2,0),"")</f>
        <v/>
      </c>
      <c r="D16" s="95" t="str">
        <f>IF($B$16&lt;&gt;"",IF(AND(AND($B$4&lt;&gt;"",$B$13="",'Опросный лист 1 (заполняется)'!$Q$42="-"),AND($B$6&lt;&gt;"",'Опросный лист 1 (заполняется)'!$M$36="-"),AND($B$8&lt;&gt;"",'Опросный лист 1 (заполняется)'!$M$45="-")),'Опросный лист 1 (заполняется)'!$P$23*3,IF(OR(AND(AND($B$4&lt;&gt;"",$B$13="",'Опросный лист 1 (заполняется)'!$Q$42="-"),AND($B$6&lt;&gt;"",'Опросный лист 1 (заполняется)'!$M$36="-")),AND(AND($B$4&lt;&gt;"",$B$13="",'Опросный лист 1 (заполняется)'!$Q$42="-"),AND($B$8&lt;&gt;"",'Опросный лист 1 (заполняется)'!$M$45="-")),AND(AND($B$6&lt;&gt;"",'Опросный лист 1 (заполняется)'!$M$36="-"),AND($B$8&lt;&gt;"",'Опросный лист 1 (заполняется)'!$M$45="-"))),'Опросный лист 1 (заполняется)'!$P$23*2,'Опросный лист 1 (заполняется)'!$P$23)),"")</f>
        <v/>
      </c>
      <c r="E16" s="96" t="str">
        <f>IF($B$16&lt;&gt;""," ","")</f>
        <v/>
      </c>
    </row>
    <row r="17" spans="1:5" x14ac:dyDescent="0.2">
      <c r="A17" s="95" t="str">
        <f>IF(B17&lt;&gt;"",IF(A16&lt;&gt;"",A16+1,IF(A15&lt;&gt;"",A15+1,IF(A14&lt;&gt;"",A14+1,IF(A13&lt;&gt;"",A13+1,IF(A12&lt;&gt;"",A12+1,IF(A11&lt;&gt;"",A11+1,IF(A10&lt;&gt;"",A10+1,IF(A9&lt;&gt;"",A9+1,IF(A8&lt;&gt;"",A8+1,IF(A7&lt;&gt;"",A7+1,IF(A6&lt;&gt;"",A6+1,IF(A5&lt;&gt;"",A5+1,A4+1)))))))))))),"")</f>
        <v/>
      </c>
      <c r="B17" s="95" t="str">
        <f>IF($B$4&lt;&gt;"",IF($B$13="",IF('Опросный лист 1 (заполняется)'!$Q$42="-",IF($B$6&lt;&gt;"",IF('Опросный лист 1 (заполняется)'!$M$36="24DC",IF(OR($B$8="",AND($B$8&lt;&gt;"",OR('Опросный лист 1 (заполняется)'!$M$45="24DC",'Опросный лист 1 (заполняется)'!$M$45="-"))),'-'!$A$32,""),IF(AND('Опросный лист 1 (заполняется)'!$M$36="-",'Опросный лист 1 (заполняется)'!$M$45="24DC"),'-'!$A$32,"")),IF($B$8&lt;&gt;"",IF('Опросный лист 1 (заполняется)'!$M$45="24DC",'-'!$A$32,""),"")),IF('Опросный лист 1 (заполняется)'!$Q$42="24DC",IF($B$6&lt;&gt;"",IF('Опросный лист 1 (заполняется)'!$M$36="24DC",IF(OR($B$8="",AND($B$8&lt;&gt;"",OR('Опросный лист 1 (заполняется)'!$M$45="24DC",'Опросный лист 1 (заполняется)'!$M$45="-"))),'-'!$A$32,""),IF(AND('Опросный лист 1 (заполняется)'!$M$36="-",'Опросный лист 1 (заполняется)'!$M$45="24DC"),'-'!$A$32,IF(AND('Опросный лист 1 (заполняется)'!$M$36="-",'Опросный лист 1 (заполняется)'!$M$45="-"),'-'!$A$32,""))),IF($B$8&lt;&gt;"",IF('Опросный лист 1 (заполняется)'!$M$45="24DC",'-'!$A$32,""),"")),"")),IF($B$6&lt;&gt;"",IF('Опросный лист 1 (заполняется)'!$M$36="24DC",IF(OR($B$8="",AND($B$8&lt;&gt;"",OR('Опросный лист 1 (заполняется)'!$M$45="24DC",'Опросный лист 1 (заполняется)'!$M$45="-"))),'-'!$A$32,""),IF(AND('Опросный лист 1 (заполняется)'!$M$36="-",'Опросный лист 1 (заполняется)'!$M$45="24DC"),'-'!$A$32,"")),IF($B$8&lt;&gt;"",IF('Опросный лист 1 (заполняется)'!$M$45="24DC",'-'!$A$32,""),""))),"")</f>
        <v/>
      </c>
      <c r="C17" s="96" t="str">
        <f>_xlfn.IFNA(VLOOKUP($B$17,'-'!$A:$B,2,0),"")</f>
        <v/>
      </c>
      <c r="D17" s="95" t="str">
        <f>IF($B$17&lt;&gt;"",IF(AND('Опросный лист 1 (заполняется)'!$M$36="24DC",'Опросный лист 1 (заполняется)'!$M$45="24DC",'Опросный лист 1 (заполняется)'!$Q$42="24DC"),'Опросный лист 1 (заполняется)'!$P$23*3,IF(OR(AND('Опросный лист 1 (заполняется)'!$M$36="24DC",'Опросный лист 1 (заполняется)'!$M$45="24DC"),AND('Опросный лист 1 (заполняется)'!$M$36="24DC",'Опросный лист 1 (заполняется)'!$Q$42="24DC"),AND('Опросный лист 1 (заполняется)'!$M$45="24DC",'Опросный лист 1 (заполняется)'!$Q$42="24DC")),'Опросный лист 1 (заполняется)'!$P$23*2,'Опросный лист 1 (заполняется)'!$P$23)),"")</f>
        <v/>
      </c>
      <c r="E17" s="96" t="str">
        <f>IF($B$17&lt;&gt;""," ","")</f>
        <v/>
      </c>
    </row>
    <row r="18" spans="1:5" x14ac:dyDescent="0.2">
      <c r="A18" s="95" t="str">
        <f>IF(B18&lt;&gt;"",IF(A17&lt;&gt;"",A17+1,IF(A16&lt;&gt;"",A16+1,IF(A15&lt;&gt;"",A15+1,IF(A14&lt;&gt;"",A14+1,IF(A13&lt;&gt;"",A13+1,IF(A12&lt;&gt;"",A12+1,IF(A11&lt;&gt;"",A11+1,IF(A10&lt;&gt;"",A10+1,IF(A9&lt;&gt;"",A9+1,IF(A8&lt;&gt;"",A8+1,IF(A7&lt;&gt;"",A7+1,IF(A6&lt;&gt;"",A6+1,IF(A5&lt;&gt;"",A5+1,A4+1))))))))))))),"")</f>
        <v/>
      </c>
      <c r="B18" s="95" t="str">
        <f>IF($B$4&lt;&gt;"",IF($B$13="",IF('Опросный лист 1 (заполняется)'!$Q$42="-",IF($B$6&lt;&gt;"",IF('Опросный лист 1 (заполняется)'!$M$36="220DC",IF(OR($B$8="",AND($B$8&lt;&gt;"",OR('Опросный лист 1 (заполняется)'!$M$45="220DC",'Опросный лист 1 (заполняется)'!$M$45="-"))),'-'!$A$31,""),IF(AND('Опросный лист 1 (заполняется)'!$M$36="-",'Опросный лист 1 (заполняется)'!$M$45="220DC"),'-'!$A$31,"")),IF($B$8&lt;&gt;"",IF('Опросный лист 1 (заполняется)'!$M$45="220DC",'-'!$A$31,""),"")),IF('Опросный лист 1 (заполняется)'!$Q$42="220DC",IF($B$6&lt;&gt;"",IF('Опросный лист 1 (заполняется)'!$M$36="220DC",IF(OR($B$8="",AND($B$8&lt;&gt;"",OR('Опросный лист 1 (заполняется)'!$M$45="220DC",'Опросный лист 1 (заполняется)'!$M$45="-"))),'-'!$A$31,""),IF(AND('Опросный лист 1 (заполняется)'!$M$36="-",'Опросный лист 1 (заполняется)'!$M$45="220DC"),'-'!$A$31,IF(AND('Опросный лист 1 (заполняется)'!$M$36="-",'Опросный лист 1 (заполняется)'!$M$45="-"),'-'!$A$31,""))),IF($B$8&lt;&gt;"",IF('Опросный лист 1 (заполняется)'!$M$45="220DC",'-'!$A$31,""),"")),"")),IF($B$6&lt;&gt;"",IF('Опросный лист 1 (заполняется)'!$M$36="220DC",IF(OR($B$8="",AND($B$8&lt;&gt;"",OR('Опросный лист 1 (заполняется)'!$M$45="220DC",'Опросный лист 1 (заполняется)'!$M$45="-"))),'-'!$A$31,""),IF(AND('Опросный лист 1 (заполняется)'!$M$36="-",'Опросный лист 1 (заполняется)'!$M$45="220DC"),'-'!$A$31,"")),IF($B$8&lt;&gt;"",IF('Опросный лист 1 (заполняется)'!$M$45="220DC",'-'!$A$31,""),""))),"")</f>
        <v/>
      </c>
      <c r="C18" s="96" t="str">
        <f>_xlfn.IFNA(VLOOKUP($B$18,'-'!$A:$B,2,0),"")</f>
        <v/>
      </c>
      <c r="D18" s="95" t="str">
        <f>IF($B$18&lt;&gt;"",IF(AND('Опросный лист 1 (заполняется)'!$M$36="220DC",'Опросный лист 1 (заполняется)'!$M$45="220DC",'Опросный лист 1 (заполняется)'!$Q$42="220DC"),'Опросный лист 1 (заполняется)'!$P$23*3,IF(OR(AND('Опросный лист 1 (заполняется)'!$M$36="220DC",'Опросный лист 1 (заполняется)'!$M$45="220DC"),AND('Опросный лист 1 (заполняется)'!$M$36="220DC",'Опросный лист 1 (заполняется)'!$Q$42="220DC"),AND('Опросный лист 1 (заполняется)'!$M$45="220DC",'Опросный лист 1 (заполняется)'!$Q$42="220DC")),'Опросный лист 1 (заполняется)'!$P$23*2,'Опросный лист 1 (заполняется)'!$P$23)),"")</f>
        <v/>
      </c>
      <c r="E18" s="96" t="str">
        <f>IF($B$18&lt;&gt;""," ","")</f>
        <v/>
      </c>
    </row>
    <row r="19" spans="1:5" x14ac:dyDescent="0.2">
      <c r="A19" s="95" t="str">
        <f>IF(B19&lt;&gt;"",IF(A18&lt;&gt;"",A18+1,IF(A17&lt;&gt;"",A17+1,IF(A16&lt;&gt;"",A16+1,IF(A15&lt;&gt;"",A15+1,IF(A14&lt;&gt;"",A14+1,IF(A13&lt;&gt;"",A13+1,IF(A12&lt;&gt;"",A12+1,IF(A11&lt;&gt;"",A11+1,IF(A10&lt;&gt;"",A10+1,IF(A9&lt;&gt;"",A9+1,IF(A8&lt;&gt;"",A8+1,IF(A7&lt;&gt;"",A7+1,IF(A6&lt;&gt;"",A6+1,IF(A5&lt;&gt;"",A5+1,A4+1)))))))))))))),"")</f>
        <v/>
      </c>
      <c r="B19" s="95" t="str">
        <f>IF($B$4&lt;&gt;"",IF($B$13="",IF('Опросный лист 1 (заполняется)'!$Q$42="-",IF($B$6&lt;&gt;"",IF('Опросный лист 1 (заполняется)'!$M$36="230AC",IF(OR($B$8="",AND($B$8&lt;&gt;"",OR('Опросный лист 1 (заполняется)'!$M$45="230AC",'Опросный лист 1 (заполняется)'!$M$45="-"))),'-'!$A$30,""),IF(AND('Опросный лист 1 (заполняется)'!$M$36="-",'Опросный лист 1 (заполняется)'!$M$45="230AC"),'-'!$A$30,"")),IF($B$8&lt;&gt;"",IF('Опросный лист 1 (заполняется)'!$M$45="230AC",'-'!$A$30,""),"")),IF('Опросный лист 1 (заполняется)'!$Q$42="230AC",IF($B$6&lt;&gt;"",IF('Опросный лист 1 (заполняется)'!$M$36="230AC",IF(OR($B$8="",AND($B$8&lt;&gt;"",OR('Опросный лист 1 (заполняется)'!$M$45="230AC",'Опросный лист 1 (заполняется)'!$M$45="-"))),'-'!$A$30,""),IF(AND('Опросный лист 1 (заполняется)'!$M$36="-",'Опросный лист 1 (заполняется)'!$M$45="230AC"),'-'!$A$30,IF(AND('Опросный лист 1 (заполняется)'!$M$36="-",'Опросный лист 1 (заполняется)'!$M$45="-"),'-'!$A$30,""))),IF($B$8&lt;&gt;"",IF('Опросный лист 1 (заполняется)'!$M$45="230AC",'-'!$A$30,""),"")),"")),IF($B$6&lt;&gt;"",IF('Опросный лист 1 (заполняется)'!$M$36="230AC",IF(OR($B$8="",AND($B$8&lt;&gt;"",OR('Опросный лист 1 (заполняется)'!$M$45="230AC",'Опросный лист 1 (заполняется)'!$M$45="-"))),'-'!$A$30,""),IF(AND('Опросный лист 1 (заполняется)'!$M$36="-",'Опросный лист 1 (заполняется)'!$M$45="230AC"),'-'!$A$30,"")),IF($B$8&lt;&gt;"",IF('Опросный лист 1 (заполняется)'!$M$45="230AC",'-'!$A$30,""),""))),"")</f>
        <v/>
      </c>
      <c r="C19" s="96" t="str">
        <f>_xlfn.IFNA(VLOOKUP($B$19,'-'!$A:$B,2,0),"")</f>
        <v/>
      </c>
      <c r="D19" s="95" t="str">
        <f>IF($B$19&lt;&gt;"",IF(AND('Опросный лист 1 (заполняется)'!$M$36="230AC",'Опросный лист 1 (заполняется)'!$M$45="230AC",'Опросный лист 1 (заполняется)'!$Q$42="230AC"),'Опросный лист 1 (заполняется)'!$P$23*3,IF(OR(AND('Опросный лист 1 (заполняется)'!$M$36="230AC",'Опросный лист 1 (заполняется)'!$M$45="230AC"),AND('Опросный лист 1 (заполняется)'!$M$36="230AC",'Опросный лист 1 (заполняется)'!$Q$42="230AC"),AND('Опросный лист 1 (заполняется)'!$M$45="230AC",'Опросный лист 1 (заполняется)'!$Q$42="230AC")),'Опросный лист 1 (заполняется)'!$P$23*2,'Опросный лист 1 (заполняется)'!$P$23)),"")</f>
        <v/>
      </c>
      <c r="E19" s="96" t="str">
        <f>IF($B$19&lt;&gt;""," ","")</f>
        <v/>
      </c>
    </row>
    <row r="20" spans="1:5" x14ac:dyDescent="0.2">
      <c r="A20" s="95" t="str">
        <f t="shared" ref="A20:A25" si="1">IF(B20&lt;&gt;"",IF(A19&lt;&gt;"",A19+1,IF(A18&lt;&gt;"",A18+1,IF(A17&lt;&gt;"",A17+1,IF(A16&lt;&gt;"",A16+1,IF(A15&lt;&gt;"",A15+1,IF(A14&lt;&gt;"",A14+1,IF(A13&lt;&gt;"",A13+1,IF(A12&lt;&gt;"",A12+1,IF(A11&lt;&gt;"",A11+1,IF(A10&lt;&gt;"",A10+1,IF(A9&lt;&gt;"",A9+1,IF(A8&lt;&gt;"",A8+1,IF(A7&lt;&gt;"",A7+1,IF(A6&lt;&gt;"",A6+1,IF(A5&lt;&gt;"",A5+1,A4+1))))))))))))))),"")</f>
        <v/>
      </c>
      <c r="B20" s="95" t="str">
        <f>IF($B$4&lt;&gt;"",IF('Опросный лист 1 (заполняется)'!$Q$40=2,'-'!$A$36,IF('Опросный лист 1 (заполняется)'!$Q$40=4,'-'!$A$37,"")),"")</f>
        <v/>
      </c>
      <c r="C20" s="96" t="str">
        <f>_xlfn.IFNA(VLOOKUP($B$20,'-'!$A:$B,2,0),"")</f>
        <v/>
      </c>
      <c r="D20" s="95" t="str">
        <f>IF($B$20&lt;&gt;"",'Опросный лист 1 (заполняется)'!$P$23,"")</f>
        <v/>
      </c>
      <c r="E20" s="96" t="str">
        <f>IF($B$20&lt;&gt;""," ","")</f>
        <v/>
      </c>
    </row>
    <row r="21" spans="1:5" x14ac:dyDescent="0.2">
      <c r="A21" s="95" t="str">
        <f t="shared" si="1"/>
        <v/>
      </c>
      <c r="B21" s="95" t="str">
        <f>IF($B$4&lt;&gt;"",IF($B$6&lt;&gt;"",IF('Опросный лист 1 (заполняется)'!$M$35=2,'-'!$A$34,IF($B$8&lt;&gt;"",IF('Опросный лист 1 (заполняется)'!$M$44=2,'-'!$A$34,""),"")),""),"")</f>
        <v/>
      </c>
      <c r="C21" s="96" t="str">
        <f>_xlfn.IFNA(VLOOKUP($B$21,'-'!$A:$B,2,0),"")</f>
        <v/>
      </c>
      <c r="D21" s="95" t="str">
        <f>IF($B$21&lt;&gt;"",IF(AND('Опросный лист 1 (заполняется)'!$M$35=2,'Опросный лист 1 (заполняется)'!$M$44=2),'Опросный лист 1 (заполняется)'!$P$23*2,'Опросный лист 1 (заполняется)'!$P$23),"")</f>
        <v/>
      </c>
      <c r="E21" s="96" t="str">
        <f>IF($B$21&lt;&gt;""," ","")</f>
        <v/>
      </c>
    </row>
    <row r="22" spans="1:5" x14ac:dyDescent="0.2">
      <c r="A22" s="95" t="str">
        <f t="shared" si="1"/>
        <v/>
      </c>
      <c r="B22" s="95" t="str">
        <f>IF($B$4&lt;&gt;"",IF($B$6&lt;&gt;"",IF('Опросный лист 1 (заполняется)'!$M$35=4,'-'!$A$35,IF($B$8&lt;&gt;"",IF('Опросный лист 1 (заполняется)'!$M$44=4,'-'!$A$35,""),"")),""),"")</f>
        <v/>
      </c>
      <c r="C22" s="96" t="str">
        <f>_xlfn.IFNA(VLOOKUP($B$22,'-'!$A:$B,2,0),"")</f>
        <v/>
      </c>
      <c r="D22" s="95" t="str">
        <f>IF($B$22&lt;&gt;"",IF(AND('Опросный лист 1 (заполняется)'!$M$35=4,'Опросный лист 1 (заполняется)'!$M$44=4),'Опросный лист 1 (заполняется)'!$P$23*2,'Опросный лист 1 (заполняется)'!$P$23),"")</f>
        <v/>
      </c>
      <c r="E22" s="96" t="str">
        <f>IF($B$22&lt;&gt;""," ","")</f>
        <v/>
      </c>
    </row>
    <row r="23" spans="1:5" x14ac:dyDescent="0.2">
      <c r="A23" s="95" t="str">
        <f t="shared" si="1"/>
        <v/>
      </c>
      <c r="B23" s="95" t="str">
        <f>IF($B$4&lt;&gt;"",IF(AND($B$5='-'!$A$10,'Опросный лист 1 (заполняется)'!$G$46="+"),'-'!$A$38,""),"")</f>
        <v/>
      </c>
      <c r="C23" s="96" t="str">
        <f>_xlfn.IFNA(VLOOKUP($B$23,'-'!$A:$B,2,0),"")</f>
        <v/>
      </c>
      <c r="D23" s="95" t="str">
        <f>IF($B$23&lt;&gt;"",'Опросный лист 1 (заполняется)'!$P$23,"")</f>
        <v/>
      </c>
      <c r="E23" s="96" t="str">
        <f>IF($B$23&lt;&gt;""," ","")</f>
        <v/>
      </c>
    </row>
    <row r="24" spans="1:5" x14ac:dyDescent="0.2">
      <c r="A24" s="95" t="str">
        <f t="shared" si="1"/>
        <v/>
      </c>
      <c r="B24" s="95" t="str">
        <f>IF($B$4&lt;&gt;"",IF($B$4='-'!$A$7,IF('Опросный лист 1 (заполняется)'!$G$52="24DC",'-'!$A$41,IF('Опросный лист 1 (заполняется)'!$G$52="220DC",'-'!$A$40,IF('Опросный лист 1 (заполняется)'!$G$52="230AC",'-'!$A$39,""))),""),"")</f>
        <v/>
      </c>
      <c r="C24" s="96" t="str">
        <f>_xlfn.IFNA(VLOOKUP($B$24,'-'!$A:$B,2,0),"")</f>
        <v/>
      </c>
      <c r="D24" s="95" t="str">
        <f>IF($B$24&lt;&gt;"",'Опросный лист 1 (заполняется)'!$P$23,"")</f>
        <v/>
      </c>
      <c r="E24" s="96" t="str">
        <f>IF($B$24&lt;&gt;""," ","")</f>
        <v/>
      </c>
    </row>
    <row r="25" spans="1:5" x14ac:dyDescent="0.2">
      <c r="A25" s="95" t="str">
        <f t="shared" si="1"/>
        <v/>
      </c>
      <c r="B25" s="95" t="str">
        <f>IF($B$4&lt;&gt;"",IF($B$5&lt;&gt;"",IF('Опросный лист 1 (заполняется)'!$G$38=6.3,'-'!$A$46,IF('Опросный лист 1 (заполняется)'!$G$38=10,'-'!$A$47,IF('Опросный лист 1 (заполняется)'!$G$38=16,'-'!$A$48,IF('Опросный лист 1 (заполняется)'!$G$38=20,'-'!$A$49,IF('Опросный лист 1 (заполняется)'!$G$38=25,'-'!$A$50,IF('Опросный лист 1 (заполняется)'!$G$38=31.5,'-'!$A$51,IF('Опросный лист 1 (заполняется)'!$G$38=40,'-'!$A$52,IF('Опросный лист 1 (заполняется)'!$G$38=50,'-'!$A$53,IF('Опросный лист 1 (заполняется)'!$G$38=63,'-'!$A$54,IF('Опросный лист 1 (заполняется)'!$G$38=80,'-'!$A$55,IF('Опросный лист 1 (заполняется)'!$G$38=100,'-'!$A$56,IF('Опросный лист 1 (заполняется)'!$G$38=125,'-'!$A$57,"")))))))))))),""),"")</f>
        <v/>
      </c>
      <c r="C25" s="96" t="str">
        <f>_xlfn.IFNA(VLOOKUP($B$25,'-'!$A:$B,2,0),"")</f>
        <v/>
      </c>
      <c r="D25" s="95" t="str">
        <f>IF($B$25&lt;&gt;"",'Опросный лист 1 (заполняется)'!$P$23*3,"")</f>
        <v/>
      </c>
      <c r="E25" s="96" t="str">
        <f>IF($B$25&lt;&gt;""," ","")</f>
        <v/>
      </c>
    </row>
    <row r="26" spans="1:5" x14ac:dyDescent="0.2">
      <c r="A26" s="95" t="str">
        <f>IF(B26&lt;&gt;"",IF(A25&lt;&gt;"",A25+1,IF(A24&lt;&gt;"",A24+1,IF(A23&lt;&gt;"",A23+1,IF(A22&lt;&gt;"",A22+1,IF(A21&lt;&gt;"",A21+1,IF(A20&lt;&gt;"",A20+1,IF(A19&lt;&gt;"",A19+1,IF(A18&lt;&gt;"",A18+1,IF(A17&lt;&gt;"",A17+1,IF(A16&lt;&gt;"",A16+1,IF(A15&lt;&gt;"",A15+1,IF(A14&lt;&gt;"",A14+1,IF(A13&lt;&gt;"",A13+1,IF(A12&lt;&gt;"",A12+1,IF(A11&lt;&gt;"",A11+1,A10+1))))))))))))))),"")</f>
        <v/>
      </c>
      <c r="B26" s="95" t="str">
        <f>IF($B$4&lt;&gt;"",'-'!$A$33,"")</f>
        <v/>
      </c>
      <c r="C26" s="96" t="str">
        <f>_xlfn.IFNA(VLOOKUP($B$26,'-'!$A:$B,2,0),"")</f>
        <v/>
      </c>
      <c r="D26" s="95" t="str">
        <f>IF($B$26&lt;&gt;"",1+'Опросный лист 1 (заполняется)'!$Q$52,"")</f>
        <v/>
      </c>
      <c r="E26" s="96" t="str">
        <f>IF($B$26&lt;&gt;""," ","")</f>
        <v/>
      </c>
    </row>
    <row r="27" spans="1:5" ht="15.75" thickBot="1" x14ac:dyDescent="0.25">
      <c r="A27" s="97"/>
      <c r="B27" s="97"/>
      <c r="C27" s="98"/>
      <c r="D27" s="97"/>
      <c r="E27" s="98"/>
    </row>
    <row r="28" spans="1:5" s="93" customFormat="1" ht="30" customHeight="1" thickBot="1" x14ac:dyDescent="0.3">
      <c r="A28" s="134" t="s">
        <v>180</v>
      </c>
      <c r="B28" s="135"/>
      <c r="C28" s="135"/>
      <c r="D28" s="135"/>
      <c r="E28" s="136"/>
    </row>
    <row r="29" spans="1:5" x14ac:dyDescent="0.2">
      <c r="A29" s="199" t="s">
        <v>155</v>
      </c>
      <c r="B29" s="199" t="s">
        <v>0</v>
      </c>
      <c r="C29" s="199" t="s">
        <v>156</v>
      </c>
      <c r="D29" s="199" t="s">
        <v>1</v>
      </c>
      <c r="E29" s="199" t="s">
        <v>157</v>
      </c>
    </row>
    <row r="30" spans="1:5" ht="15.75" thickBot="1" x14ac:dyDescent="0.25">
      <c r="A30" s="200"/>
      <c r="B30" s="200"/>
      <c r="C30" s="200"/>
      <c r="D30" s="200"/>
      <c r="E30" s="200"/>
    </row>
    <row r="31" spans="1:5" x14ac:dyDescent="0.2">
      <c r="A31" s="95" t="str">
        <f>IF(B31&lt;&gt;"",1,"")</f>
        <v/>
      </c>
      <c r="B31" s="95" t="str">
        <f>IF(AND('Опросный лист 2 (заполняется)'!$J$16=6,'Опросный лист 2 (заполняется)'!$K$16="K"),'-'!$A$9,IF(AND('Опросный лист 2 (заполняется)'!$J$16=6,'Опросный лист 2 (заполняется)'!$K$16="A"),'-'!$A$7,IF(AND('Опросный лист 2 (заполняется)'!$J$16=4,'Опросный лист 2 (заполняется)'!$K$16="K"),'-'!$A$9,IF(AND('Опросный лист 2 (заполняется)'!$J$16=4,'Опросный лист 2 (заполняется)'!$K$16="A"),'-'!$A$7,""))))</f>
        <v/>
      </c>
      <c r="C31" s="96" t="str">
        <f>_xlfn.IFNA(VLOOKUP($B$31,'-'!$A:$B,2,0),"")</f>
        <v/>
      </c>
      <c r="D31" s="95" t="str">
        <f>IF($B$31&lt;&gt;"",'Опросный лист 2 (заполняется)'!$P$23,"")</f>
        <v/>
      </c>
      <c r="E31" s="96" t="str">
        <f>IF($B$31&lt;&gt;"",IF(AND($B$31='-'!$A$7,'Опросный лист 2 (заполняется)'!$J$16=4),"ЗАМЕНА, ВН на 400А только под заказ",IF(AND($B$31='-'!$A$9,'Опросный лист 2 (заполняется)'!$J$16=4),"ЗАМЕНА, ВН на 400А только под заказ"," ")),"")</f>
        <v/>
      </c>
    </row>
    <row r="32" spans="1:5" x14ac:dyDescent="0.2">
      <c r="A32" s="95" t="str">
        <f>IF(B32&lt;&gt;"",IF(A31&lt;&gt;"",A31+1,""),"")</f>
        <v/>
      </c>
      <c r="B32" s="95" t="str">
        <f>IF($B$31&lt;&gt;"",IF(AND('Опросный лист 2 (заполняется)'!$G$16="F",'Опросный лист 2 (заполняется)'!$K$16="A",'Опросный лист 2 (заполняется)'!$G$36="+",'Опросный лист 2 (заполняется)'!$G$37="-",'Опросный лист 2 (заполняется)'!$G$44="+"),'-'!$A$10,IF(AND('Опросный лист 2 (заполняется)'!$G$16="F",'Опросный лист 2 (заполняется)'!$K$16="A",'Опросный лист 2 (заполняется)'!$G$36="+",'Опросный лист 2 (заполняется)'!$G$37="-",'Опросный лист 2 (заполняется)'!$G$44="-"),'-'!$A$11,IF(AND('Опросный лист 2 (заполняется)'!$G$16="F",'Опросный лист 2 (заполняется)'!$K$16="K",'Опросный лист 2 (заполняется)'!$G$36="+",'Опросный лист 2 (заполняется)'!$G$37="-",'Опросный лист 2 (заполняется)'!$G$44=""),'-'!$A$11,""))),"")</f>
        <v/>
      </c>
      <c r="C32" s="96" t="str">
        <f>_xlfn.IFNA(VLOOKUP($B$32,'-'!$A:$B,2,0),"")</f>
        <v/>
      </c>
      <c r="D32" s="95" t="str">
        <f>IF($B$32&lt;&gt;"",'Опросный лист 2 (заполняется)'!$P$23,"")</f>
        <v/>
      </c>
      <c r="E32" s="96" t="str">
        <f>IF($B$32&lt;&gt;""," ","")</f>
        <v/>
      </c>
    </row>
    <row r="33" spans="1:5" x14ac:dyDescent="0.2">
      <c r="A33" s="95" t="str">
        <f>IF(B33&lt;&gt;"",IF(A32&lt;&gt;"",A32+1,IF(A31&lt;&gt;"",A31+1,"")),"")</f>
        <v/>
      </c>
      <c r="B33" s="95" t="str">
        <f>IF($B$31&lt;&gt;"",IF(AND('Опросный лист 2 (заполняется)'!$N$16="E",AND($B$32&lt;&gt;'-'!$A$10,$B$32&lt;&gt;'-'!$A$11)),'-'!$A$14,IF(AND('Опросный лист 2 (заполняется)'!$N$16="E",OR($B$32='-'!$A$10,$B$32='-'!$A$11)),'-'!$A$15,"")),"")</f>
        <v/>
      </c>
      <c r="C33" s="96" t="str">
        <f>_xlfn.IFNA(VLOOKUP($B$33,'-'!$A:$B,2,0),"")</f>
        <v/>
      </c>
      <c r="D33" s="95" t="str">
        <f>IF($B$33&lt;&gt;"",'Опросный лист 2 (заполняется)'!$P$23,"")</f>
        <v/>
      </c>
      <c r="E33" s="96" t="str">
        <f>IF($B$33&lt;&gt;""," ","")</f>
        <v/>
      </c>
    </row>
    <row r="34" spans="1:5" x14ac:dyDescent="0.2">
      <c r="A34" s="95" t="str">
        <f>IF(B34&lt;&gt;"",IF(A33&lt;&gt;"",A33+1,IF(A32&lt;&gt;"",A32+1,A31+1)),"")</f>
        <v/>
      </c>
      <c r="B34" s="95" t="str">
        <f>IF($B$31&lt;&gt;"",IF(AND($B$33='-'!$A$14,'Опросный лист 2 (заполняется)'!$M$38="+"),'-'!$A$24,IF(AND($B$33='-'!$A$15,'Опросный лист 2 (заполняется)'!$M$38="+"),'-'!$A$25,"")),"")</f>
        <v/>
      </c>
      <c r="C34" s="96" t="str">
        <f>_xlfn.IFNA(VLOOKUP($B$34,'-'!$A:$B,2,0),"")</f>
        <v/>
      </c>
      <c r="D34" s="95" t="str">
        <f>IF($B$34&lt;&gt;"",'Опросный лист 2 (заполняется)'!$P$23,"")</f>
        <v/>
      </c>
      <c r="E34" s="96" t="str">
        <f>IF($B$34&lt;&gt;""," ","")</f>
        <v/>
      </c>
    </row>
    <row r="35" spans="1:5" x14ac:dyDescent="0.2">
      <c r="A35" s="95" t="str">
        <f>IF(B35&lt;&gt;"",IF(A34&lt;&gt;"",A34+1,IF(A33&lt;&gt;"",A33+1,IF(A32&lt;&gt;"",A32+1,A31+1))),"")</f>
        <v/>
      </c>
      <c r="B35" s="95" t="str">
        <f>IF($B$31&lt;&gt;"",IF('Опросный лист 2 (заполняется)'!$Q$16="EB",'-'!$A$16,""),"")</f>
        <v/>
      </c>
      <c r="C35" s="96" t="str">
        <f>_xlfn.IFNA(VLOOKUP($B$35,'-'!$A:$B,2,0),"")</f>
        <v/>
      </c>
      <c r="D35" s="95" t="str">
        <f>IF($B$35&lt;&gt;"",'Опросный лист 2 (заполняется)'!$P$23,"")</f>
        <v/>
      </c>
      <c r="E35" s="96" t="str">
        <f>IF($B$35&lt;&gt;""," ","")</f>
        <v/>
      </c>
    </row>
    <row r="36" spans="1:5" x14ac:dyDescent="0.2">
      <c r="A36" s="95" t="str">
        <f>IF(B36&lt;&gt;"",IF(A35&lt;&gt;"",A35+1,IF(A34&lt;&gt;"",A34+1,IF(A33&lt;&gt;"",A33+1,IF(A32&lt;&gt;"",A32+1,A31+1)))),"")</f>
        <v/>
      </c>
      <c r="B36" s="95" t="str">
        <f>IF($B$31&lt;&gt;"",IF(AND($B$35='-'!$A$16,'Опросный лист 2 (заполняется)'!$M$47="+",'Опросный лист 2 (заполняется)'!$N$47&lt;&gt;"ОШИБКА"),'-'!$A$24,""),"")</f>
        <v/>
      </c>
      <c r="C36" s="96" t="str">
        <f>_xlfn.IFNA(VLOOKUP($B$36,'-'!$A:$B,2,0),"")</f>
        <v/>
      </c>
      <c r="D36" s="95" t="str">
        <f>IF($B$36&lt;&gt;"",'Опросный лист 2 (заполняется)'!$P$23,"")</f>
        <v/>
      </c>
      <c r="E36" s="96" t="str">
        <f>IF($B$36&lt;&gt;""," ","")</f>
        <v/>
      </c>
    </row>
    <row r="37" spans="1:5" x14ac:dyDescent="0.2">
      <c r="A37" s="95" t="str">
        <f>IF(B37&lt;&gt;"",IF(A36&lt;&gt;"",A36+1,IF(A35&lt;&gt;"",A35+1,IF(A34&lt;&gt;"",A34+1,IF(A33&lt;&gt;"",A33+1,IF(A32&lt;&gt;"",A32+1,A31+1))))),"")</f>
        <v/>
      </c>
      <c r="B37" s="95" t="str">
        <f>IF(AND($B$31&lt;&gt;"",OR($B$34&lt;&gt;"",$B$36&lt;&gt;"",'Опросный лист 2 (заполняется)'!$M$16="L")),'-'!$A$18,"")</f>
        <v/>
      </c>
      <c r="C37" s="96" t="str">
        <f>_xlfn.IFNA(VLOOKUP($B$37,'-'!$A:$B,2,0),"")</f>
        <v/>
      </c>
      <c r="D37" s="95" t="str">
        <f>IF($B$37&lt;&gt;"",'Опросный лист 2 (заполняется)'!$P$23,"")</f>
        <v/>
      </c>
      <c r="E37" s="96" t="str">
        <f>IF($B$37&lt;&gt;""," ","")</f>
        <v/>
      </c>
    </row>
    <row r="38" spans="1:5" x14ac:dyDescent="0.2">
      <c r="A38" s="95" t="str">
        <f>IF(B38&lt;&gt;"",IF(A37&lt;&gt;"",A37+1,IF(A36&lt;&gt;"",A36+1,IF(A35&lt;&gt;"",A35+1,IF(A34&lt;&gt;"",A34+1,IF(A33&lt;&gt;"",A33+1,IF(A32&lt;&gt;"",A32+1,A31+1)))))),"")</f>
        <v/>
      </c>
      <c r="B38" s="95" t="str">
        <f>IF($B$31&lt;&gt;"",IF(OR($B$33&lt;&gt;"",$B$35&lt;&gt;""),'-'!$A$26,""),"")</f>
        <v/>
      </c>
      <c r="C38" s="96" t="str">
        <f>_xlfn.IFNA(VLOOKUP($B$38,'-'!$A:$B,2,0),"")</f>
        <v/>
      </c>
      <c r="D38" s="95" t="str">
        <f>IF($B$38&lt;&gt;"",IF(AND($B$31&lt;&gt;"",$B$33&lt;&gt;"",$B$35&lt;&gt;""),'Опросный лист 2 (заполняется)'!$P$23*3,IF(OR(AND($B$31&lt;&gt;"",$B$33&lt;&gt;""),AND($B$31&lt;&gt;"",$B$35&lt;&gt;""),AND($B$33&lt;&gt;"",$B$35&lt;&gt;"")),'Опросный лист 2 (заполняется)'!$P$23*2,'Опросный лист 2 (заполняется)'!$P$23)),"")</f>
        <v/>
      </c>
      <c r="E38" s="96" t="str">
        <f>IF($B$38&lt;&gt;""," ","")</f>
        <v/>
      </c>
    </row>
    <row r="39" spans="1:5" x14ac:dyDescent="0.2">
      <c r="A39" s="95" t="str">
        <f t="shared" ref="A39" si="2">IF(B39&lt;&gt;"",IF(A38&lt;&gt;"",A38+1,IF(A37&lt;&gt;"",A37+1,IF(A36&lt;&gt;"",A36+1,IF(A35&lt;&gt;"",A35+1,IF(A34&lt;&gt;"",A34+1,IF(A33&lt;&gt;"",A33+1,IF(A32&lt;&gt;"",A32+1,A31+1))))))),"")</f>
        <v/>
      </c>
      <c r="B39" s="95" t="str">
        <f>IF($B$31&lt;&gt;"",IF($B$38&lt;&gt;"",'-'!$A$27,""),"")</f>
        <v/>
      </c>
      <c r="C39" s="96" t="str">
        <f>_xlfn.IFNA(VLOOKUP($B$39,'-'!$A:$B,2,0),"")</f>
        <v/>
      </c>
      <c r="D39" s="95" t="str">
        <f>$D$38</f>
        <v/>
      </c>
      <c r="E39" s="96" t="str">
        <f>IF($B$39&lt;&gt;""," ","")</f>
        <v/>
      </c>
    </row>
    <row r="40" spans="1:5" x14ac:dyDescent="0.2">
      <c r="A40" s="95" t="str">
        <f>IF(B40&lt;&gt;"",IF(A39&lt;&gt;"",A39+1,IF(A38&lt;&gt;"",A38+1,IF(A37&lt;&gt;"",A37+1,IF(A36&lt;&gt;"",A36+1,IF(A35&lt;&gt;"",A35+1,IF(A34&lt;&gt;"",A34+1,IF(A33&lt;&gt;"",A33+1,IF(A32&lt;&gt;"",A32+1,A31+1)))))))),"")</f>
        <v/>
      </c>
      <c r="B40" s="95" t="str">
        <f>IF($B$31&lt;&gt;"",IF(AND('Опросный лист 2 (заполняется)'!$P$16="NM",'Опросный лист 2 (заполняется)'!$Q$37=24),'-'!$A$20,IF(AND('Опросный лист 2 (заполняется)'!$P$16="NM",'Опросный лист 2 (заполняется)'!$Q$37=220),'-'!$A$19,"")),"")</f>
        <v/>
      </c>
      <c r="C40" s="96" t="str">
        <f>_xlfn.IFNA(VLOOKUP($B$40,'-'!$A:$B,2,0),"")</f>
        <v/>
      </c>
      <c r="D40" s="95" t="str">
        <f>IF($B$40&lt;&gt;"",'Опросный лист 2 (заполняется)'!$P$23,"")</f>
        <v/>
      </c>
      <c r="E40" s="96" t="str">
        <f>IF($B$40&lt;&gt;""," ","")</f>
        <v/>
      </c>
    </row>
    <row r="41" spans="1:5" x14ac:dyDescent="0.2">
      <c r="A41" s="95" t="str">
        <f>IF(B41&lt;&gt;"",IF(A40&lt;&gt;"",A40+1,IF(A39&lt;&gt;"",A39+1,IF(A38&lt;&gt;"",A38+1,IF(A37&lt;&gt;"",A37+1,IF(A36&lt;&gt;"",A36+1,IF(A35&lt;&gt;"",A35+1,IF(A34&lt;&gt;"",A34+1,IF(A33&lt;&gt;"",A33+1,IF(A32&lt;&gt;"",A32+1,A31+1))))))))),"")</f>
        <v/>
      </c>
      <c r="B41" s="95" t="str">
        <f>IF($B$31&lt;&gt;"",IF($B$40&lt;&gt;"",IF(OR('Опросный лист 2 (заполняется)'!$G$30=750,'Опросный лист 2 (заполняется)'!$G$30=800),IF(AND('Опросный лист 2 (заполняется)'!$Q$35="справа",'Опросный лист 2 (заполняется)'!$K$16="A"),'-'!$A$22,IF(AND('Опросный лист 2 (заполняется)'!$Q$35="справа",'Опросный лист 2 (заполняется)'!$K$16="K"),'-'!$A$21,IF(AND('Опросный лист 2 (заполняется)'!$Q$35="слева",OR('Опросный лист 2 (заполняется)'!$K$16="K",'Опросный лист 2 (заполняется)'!$K$16="A")),'-'!$A$21,""))),IF('Опросный лист 2 (заполняется)'!$G$30=1000,IF(AND('Опросный лист 2 (заполняется)'!$Q$35="справа",'Опросный лист 2 (заполняется)'!$K$16="A"),'-'!$A$22,IF(AND('Опросный лист 2 (заполняется)'!$Q$35="справа",'Опросный лист 2 (заполняется)'!$K$16="K"),'-'!$A$21,IF(AND('Опросный лист 2 (заполняется)'!$Q$35="слева",OR('Опросный лист 2 (заполняется)'!$K$16="K",'Опросный лист 2 (заполняется)'!$K$16="A"),'Опросный лист 2 (заполняется)'!$Q$16="EB",'Опросный лист 2 (заполняется)'!$M$47="+",'Опросный лист 2 (заполняется)'!$M$16="R"),'-'!$A$21,IF(AND('Опросный лист 2 (заполняется)'!$Q$35="слева",OR('Опросный лист 2 (заполняется)'!$K$16="K",'Опросный лист 2 (заполняется)'!$K$16="A"),OR(AND('Опросный лист 2 (заполняется)'!$Q$16="EB",'Опросный лист 2 (заполняется)'!$M$47="-"),'Опросный лист 2 (заполняется)'!$Q$16="_"),'Опросный лист 2 (заполняется)'!$M$16="R"),'-'!$A$23,"")))),"")),""),"")</f>
        <v/>
      </c>
      <c r="C41" s="96" t="str">
        <f>_xlfn.IFNA(VLOOKUP($B$41,'-'!$A:$B,2,0),"")</f>
        <v/>
      </c>
      <c r="D41" s="95" t="str">
        <f>IF($B$41&lt;&gt;"",'Опросный лист 2 (заполняется)'!$P$23,"")</f>
        <v/>
      </c>
      <c r="E41" s="96" t="str">
        <f>IF($B$41&lt;&gt;"","особенности применения описаны в статье на сайте (см. QR-код на опроснике)","")</f>
        <v/>
      </c>
    </row>
    <row r="42" spans="1:5" x14ac:dyDescent="0.2">
      <c r="A42" s="95" t="str">
        <f>IF(B42&lt;&gt;"",IF(A41&lt;&gt;"",A41+1,IF(A40&lt;&gt;"",A40+1,IF(A39&lt;&gt;"",A39+1,IF(A38&lt;&gt;"",A38+1,IF(A37&lt;&gt;"",A37+1,IF(A36&lt;&gt;"",A36+1,IF(A35&lt;&gt;"",A35+1,IF(A34&lt;&gt;"",A34+1,IF(A33&lt;&gt;"",A33+1,IF(A32&lt;&gt;"",A32+1,A31+1)))))))))),"")</f>
        <v/>
      </c>
      <c r="B42" s="95" t="str">
        <f>IF($B$31&lt;&gt;"",IF(AND($B$31&lt;&gt;"",$B$40&lt;&gt;""),'-'!$A$28,""),"")</f>
        <v/>
      </c>
      <c r="C42" s="96" t="str">
        <f>_xlfn.IFNA(VLOOKUP($B$42,'-'!$A:$B,2,0),"")</f>
        <v/>
      </c>
      <c r="D42" s="95" t="str">
        <f>IF($B$42&lt;&gt;"",IF($B$42='-'!$A$28,'Опросный лист 2 (заполняется)'!$P$23,IF(AND(AND($B$31&lt;&gt;"",$B$40="",'Опросный лист 2 (заполняется)'!$Q$42="-"),AND($B$33&lt;&gt;"",'Опросный лист 2 (заполняется)'!$M$36="-"),AND($B$35&lt;&gt;"",'Опросный лист 2 (заполняется)'!$M$45="-")),'Опросный лист 2 (заполняется)'!$P$23*3,IF(OR(AND(AND($B$31&lt;&gt;"",$B$40="",'Опросный лист 2 (заполняется)'!$Q$42="-"),AND($B$33&lt;&gt;"",'Опросный лист 2 (заполняется)'!$M$36="-")),AND(AND($B$31&lt;&gt;"",$B$40="",'Опросный лист 2 (заполняется)'!$Q$42="-"),AND($B$35&lt;&gt;"",'Опросный лист 2 (заполняется)'!$M$45="-")),AND(AND($B$33&lt;&gt;"",'Опросный лист 2 (заполняется)'!$M$36="-"),AND($B$35&lt;&gt;"",'Опросный лист 2 (заполняется)'!$M$45="-"))),'Опросный лист 2 (заполняется)'!$P$23*2,'Опросный лист 2 (заполняется)'!$P$23))),"")</f>
        <v/>
      </c>
      <c r="E42" s="96" t="str">
        <f>IF($B$42&lt;&gt;""," ","")</f>
        <v/>
      </c>
    </row>
    <row r="43" spans="1:5" x14ac:dyDescent="0.2">
      <c r="A43" s="95" t="str">
        <f>IF(B43&lt;&gt;"",IF(A42&lt;&gt;"",A42+1,IF(A41&lt;&gt;"",A41+1,IF(A40&lt;&gt;"",A40+1,IF(A39&lt;&gt;"",A39+1,IF(A38&lt;&gt;"",A38+1,IF(A37&lt;&gt;"",A37+1,IF(A36&lt;&gt;"",A36+1,IF(A35&lt;&gt;"",A35+1,IF(A34&lt;&gt;"",A34+1,IF(A33&lt;&gt;"",A33+1,IF(A32&lt;&gt;"",A32+1,A31+1))))))))))),"")</f>
        <v/>
      </c>
      <c r="B43" s="95" t="str">
        <f>IF($B$31&lt;&gt;"",IF(OR(AND($B$31&lt;&gt;"",$B$40="",'Опросный лист 2 (заполняется)'!$Q$42="-"),AND($B$33&lt;&gt;"",'Опросный лист 2 (заполняется)'!$M$36="-"),AND($B$35&lt;&gt;"",'Опросный лист 2 (заполняется)'!$M$45="-")),'-'!$A$29,""),"")</f>
        <v/>
      </c>
      <c r="C43" s="96" t="str">
        <f>_xlfn.IFNA(VLOOKUP($B$43,'-'!$A:$B,2,0),"")</f>
        <v/>
      </c>
      <c r="D43" s="95" t="str">
        <f>IF($B$43&lt;&gt;"",IF(AND(AND($B$31&lt;&gt;"",$B$40="",'Опросный лист 2 (заполняется)'!$Q$42="-"),AND($B$33&lt;&gt;"",'Опросный лист 2 (заполняется)'!$M$36="-"),AND($B$35&lt;&gt;"",'Опросный лист 2 (заполняется)'!$M$45="-")),'Опросный лист 2 (заполняется)'!$P$23*3,IF(OR(AND(AND($B$31&lt;&gt;"",$B$40="",'Опросный лист 2 (заполняется)'!$Q$42="-"),AND($B$33&lt;&gt;"",'Опросный лист 2 (заполняется)'!$M$36="-")),AND(AND($B$31&lt;&gt;"",$B$40="",'Опросный лист 2 (заполняется)'!$Q$42="-"),AND($B$35&lt;&gt;"",'Опросный лист 2 (заполняется)'!$M$45="-")),AND(AND($B$33&lt;&gt;"",'Опросный лист 2 (заполняется)'!$M$36="-"),AND($B$35&lt;&gt;"",'Опросный лист 2 (заполняется)'!$M$45="-"))),'Опросный лист 2 (заполняется)'!$P$23*2,'Опросный лист 2 (заполняется)'!$P$23)),"")</f>
        <v/>
      </c>
      <c r="E43" s="96" t="str">
        <f>IF($B$43&lt;&gt;""," ","")</f>
        <v/>
      </c>
    </row>
    <row r="44" spans="1:5" x14ac:dyDescent="0.2">
      <c r="A44" s="95" t="str">
        <f>IF(B44&lt;&gt;"",IF(A43&lt;&gt;"",A43+1,IF(A42&lt;&gt;"",A42+1,IF(A41&lt;&gt;"",A41+1,IF(A40&lt;&gt;"",A40+1,IF(A39&lt;&gt;"",A39+1,IF(A38&lt;&gt;"",A38+1,IF(A37&lt;&gt;"",A37+1,IF(A36&lt;&gt;"",A36+1,IF(A35&lt;&gt;"",A35+1,IF(A34&lt;&gt;"",A34+1,IF(A33&lt;&gt;"",A33+1,IF(A32&lt;&gt;"",A32+1,A31+1)))))))))))),"")</f>
        <v/>
      </c>
      <c r="B44" s="95" t="str">
        <f>IF($B$31&lt;&gt;"",IF($B$40="",IF('Опросный лист 2 (заполняется)'!$Q$42="-",IF($B$33&lt;&gt;"",IF('Опросный лист 2 (заполняется)'!$M$36="24DC",IF(OR($B$35="",AND($B$35&lt;&gt;"",OR('Опросный лист 2 (заполняется)'!$M$45="24DC",'Опросный лист 2 (заполняется)'!$M$45="-"))),'-'!$A$32,""),IF(AND('Опросный лист 2 (заполняется)'!$M$36="-",'Опросный лист 2 (заполняется)'!$M$45="24DC"),'-'!$A$32,"")),IF($B$35&lt;&gt;"",IF('Опросный лист 2 (заполняется)'!$M$45="24DC",'-'!$A$32,""),"")),IF('Опросный лист 2 (заполняется)'!$Q$42="24DC",IF($B$33&lt;&gt;"",IF('Опросный лист 2 (заполняется)'!$M$36="24DC",IF(OR($B$35="",AND($B$35&lt;&gt;"",OR('Опросный лист 2 (заполняется)'!$M$45="24DC",'Опросный лист 2 (заполняется)'!$M$45="-"))),'-'!$A$32,""),IF(AND('Опросный лист 2 (заполняется)'!$M$36="-",'Опросный лист 2 (заполняется)'!$M$45="24DC"),'-'!$A$32,IF(AND('Опросный лист 2 (заполняется)'!$M$36="-",'Опросный лист 2 (заполняется)'!$M$45="-"),'-'!$A$32,""))),IF($B$35&lt;&gt;"",IF('Опросный лист 2 (заполняется)'!$M$45="24DC",'-'!$A$32,""),"")),"")),IF($B$33&lt;&gt;"",IF('Опросный лист 2 (заполняется)'!$M$36="24DC",IF(OR($B$35="",AND($B$35&lt;&gt;"",OR('Опросный лист 2 (заполняется)'!$M$45="24DC",'Опросный лист 2 (заполняется)'!$M$45="-"))),'-'!$A$32,""),IF(AND('Опросный лист 2 (заполняется)'!$M$36="-",'Опросный лист 2 (заполняется)'!$M$45="24DC"),'-'!$A$32,"")),IF($B$35&lt;&gt;"",IF('Опросный лист 2 (заполняется)'!$M$45="24DC",'-'!$A$32,""),""))),"")</f>
        <v/>
      </c>
      <c r="C44" s="96" t="str">
        <f>_xlfn.IFNA(VLOOKUP($B$44,'-'!$A:$B,2,0),"")</f>
        <v/>
      </c>
      <c r="D44" s="95" t="str">
        <f>IF($B$44&lt;&gt;"",IF(AND('Опросный лист 2 (заполняется)'!$M$36="24DC",'Опросный лист 2 (заполняется)'!$M$45="24DC",'Опросный лист 2 (заполняется)'!$Q$42="24DC"),'Опросный лист 2 (заполняется)'!$P$23*3,IF(OR(AND('Опросный лист 2 (заполняется)'!$M$36="24DC",'Опросный лист 2 (заполняется)'!$M$45="24DC"),AND('Опросный лист 2 (заполняется)'!$M$36="24DC",'Опросный лист 2 (заполняется)'!$Q$42="24DC"),AND('Опросный лист 2 (заполняется)'!$M$45="24DC",'Опросный лист 2 (заполняется)'!$Q$42="24DC")),'Опросный лист 2 (заполняется)'!$P$23*2,'Опросный лист 2 (заполняется)'!$P$23)),"")</f>
        <v/>
      </c>
      <c r="E44" s="96" t="str">
        <f>IF($B$44&lt;&gt;""," ","")</f>
        <v/>
      </c>
    </row>
    <row r="45" spans="1:5" x14ac:dyDescent="0.2">
      <c r="A45" s="95" t="str">
        <f>IF(B45&lt;&gt;"",IF(A44&lt;&gt;"",A44+1,IF(A43&lt;&gt;"",A43+1,IF(A42&lt;&gt;"",A42+1,IF(A41&lt;&gt;"",A41+1,IF(A40&lt;&gt;"",A40+1,IF(A39&lt;&gt;"",A39+1,IF(A38&lt;&gt;"",A38+1,IF(A37&lt;&gt;"",A37+1,IF(A36&lt;&gt;"",A36+1,IF(A35&lt;&gt;"",A35+1,IF(A34&lt;&gt;"",A34+1,IF(A33&lt;&gt;"",A33+1,IF(A32&lt;&gt;"",A32+1,A31+1))))))))))))),"")</f>
        <v/>
      </c>
      <c r="B45" s="95" t="str">
        <f>IF($B$31&lt;&gt;"",IF($B$40="",IF('Опросный лист 2 (заполняется)'!$Q$42="-",IF($B$33&lt;&gt;"",IF('Опросный лист 2 (заполняется)'!$M$36="220DC",IF(OR($B$35="",AND($B$35&lt;&gt;"",OR('Опросный лист 2 (заполняется)'!$M$45="220DC",'Опросный лист 2 (заполняется)'!$M$45="-"))),'-'!$A$31,""),IF(AND('Опросный лист 2 (заполняется)'!$M$36="-",'Опросный лист 2 (заполняется)'!$M$45="220DC"),'-'!$A$31,"")),IF($B$35&lt;&gt;"",IF('Опросный лист 2 (заполняется)'!$M$45="220DC",'-'!$A$31,""),"")),IF('Опросный лист 2 (заполняется)'!$Q$42="220DC",IF($B$33&lt;&gt;"",IF('Опросный лист 2 (заполняется)'!$M$36="220DC",IF(OR($B$35="",AND($B$35&lt;&gt;"",OR('Опросный лист 2 (заполняется)'!$M$45="220DC",'Опросный лист 2 (заполняется)'!$M$45="-"))),'-'!$A$31,""),IF(AND('Опросный лист 2 (заполняется)'!$M$36="-",'Опросный лист 2 (заполняется)'!$M$45="220DC"),'-'!$A$31,IF(AND('Опросный лист 2 (заполняется)'!$M$36="-",'Опросный лист 2 (заполняется)'!$M$45="-"),'-'!$A$31,""))),IF($B$35&lt;&gt;"",IF('Опросный лист 2 (заполняется)'!$M$45="220DC",'-'!$A$31,""),"")),"")),IF($B$33&lt;&gt;"",IF('Опросный лист 2 (заполняется)'!$M$36="220DC",IF(OR($B$35="",AND($B$35&lt;&gt;"",OR('Опросный лист 2 (заполняется)'!$M$45="220DC",'Опросный лист 2 (заполняется)'!$M$45="-"))),'-'!$A$31,""),IF(AND('Опросный лист 2 (заполняется)'!$M$36="-",'Опросный лист 2 (заполняется)'!$M$45="220DC"),'-'!$A$31,"")),IF($B$35&lt;&gt;"",IF('Опросный лист 2 (заполняется)'!$M$45="220DC",'-'!$A$31,""),""))),"")</f>
        <v/>
      </c>
      <c r="C45" s="96" t="str">
        <f>_xlfn.IFNA(VLOOKUP($B$45,'-'!$A:$B,2,0),"")</f>
        <v/>
      </c>
      <c r="D45" s="95" t="str">
        <f>IF($B$45&lt;&gt;"",IF(AND('Опросный лист 2 (заполняется)'!$M$36="220DC",'Опросный лист 2 (заполняется)'!$M$45="220DC",'Опросный лист 2 (заполняется)'!$Q$42="220DC"),'Опросный лист 2 (заполняется)'!$P$23*3,IF(OR(AND('Опросный лист 2 (заполняется)'!$M$36="220DC",'Опросный лист 2 (заполняется)'!$M$45="220DC"),AND('Опросный лист 2 (заполняется)'!$M$36="220DC",'Опросный лист 2 (заполняется)'!$Q$42="220DC"),AND('Опросный лист 2 (заполняется)'!$M$45="220DC",'Опросный лист 2 (заполняется)'!$Q$42="220DC")),'Опросный лист 2 (заполняется)'!$P$23*2,'Опросный лист 2 (заполняется)'!$P$23)),"")</f>
        <v/>
      </c>
      <c r="E45" s="96" t="str">
        <f>IF($B$45&lt;&gt;""," ","")</f>
        <v/>
      </c>
    </row>
    <row r="46" spans="1:5" x14ac:dyDescent="0.2">
      <c r="A46" s="95" t="str">
        <f>IF(B46&lt;&gt;"",IF(A45&lt;&gt;"",A45+1,IF(A44&lt;&gt;"",A44+1,IF(A43&lt;&gt;"",A43+1,IF(A42&lt;&gt;"",A42+1,IF(A41&lt;&gt;"",A41+1,IF(A40&lt;&gt;"",A40+1,IF(A39&lt;&gt;"",A39+1,IF(A38&lt;&gt;"",A38+1,IF(A37&lt;&gt;"",A37+1,IF(A36&lt;&gt;"",A36+1,IF(A35&lt;&gt;"",A35+1,IF(A34&lt;&gt;"",A34+1,IF(A33&lt;&gt;"",A33+1,IF(A32&lt;&gt;"",A32+1,A31+1)))))))))))))),"")</f>
        <v/>
      </c>
      <c r="B46" s="95" t="str">
        <f>IF($B$31&lt;&gt;"",IF($B$40="",IF('Опросный лист 2 (заполняется)'!$Q$42="-",IF($B$33&lt;&gt;"",IF('Опросный лист 2 (заполняется)'!$M$36="230AC",IF(OR($B$35="",AND($B$35&lt;&gt;"",OR('Опросный лист 2 (заполняется)'!$M$45="230AC",'Опросный лист 2 (заполняется)'!$M$45="-"))),'-'!$A$30,""),IF(AND('Опросный лист 2 (заполняется)'!$M$36="-",'Опросный лист 2 (заполняется)'!$M$45="230AC"),'-'!$A$30,"")),IF($B$35&lt;&gt;"",IF('Опросный лист 2 (заполняется)'!$M$45="230AC",'-'!$A$30,""),"")),IF('Опросный лист 2 (заполняется)'!$Q$42="230AC",IF($B$33&lt;&gt;"",IF('Опросный лист 2 (заполняется)'!$M$36="230AC",IF(OR($B$35="",AND($B$35&lt;&gt;"",OR('Опросный лист 2 (заполняется)'!$M$45="230AC",'Опросный лист 2 (заполняется)'!$M$45="-"))),'-'!$A$30,""),IF(AND('Опросный лист 2 (заполняется)'!$M$36="-",'Опросный лист 2 (заполняется)'!$M$45="230AC"),'-'!$A$30,IF(AND('Опросный лист 2 (заполняется)'!$M$36="-",'Опросный лист 2 (заполняется)'!$M$45="-"),'-'!$A$30,""))),IF($B$35&lt;&gt;"",IF('Опросный лист 2 (заполняется)'!$M$45="230AC",'-'!$A$30,""),"")),"")),IF($B$33&lt;&gt;"",IF('Опросный лист 2 (заполняется)'!$M$36="230AC",IF(OR($B$35="",AND($B$35&lt;&gt;"",OR('Опросный лист 2 (заполняется)'!$M$45="230AC",'Опросный лист 2 (заполняется)'!$M$45="-"))),'-'!$A$30,""),IF(AND('Опросный лист 2 (заполняется)'!$M$36="-",'Опросный лист 2 (заполняется)'!$M$45="230AC"),'-'!$A$30,"")),IF($B$35&lt;&gt;"",IF('Опросный лист 2 (заполняется)'!$M$45="230AC",'-'!$A$30,""),""))),"")</f>
        <v/>
      </c>
      <c r="C46" s="96" t="str">
        <f>_xlfn.IFNA(VLOOKUP($B$46,'-'!$A:$B,2,0),"")</f>
        <v/>
      </c>
      <c r="D46" s="95" t="str">
        <f>IF($B$46&lt;&gt;"",IF(AND('Опросный лист 2 (заполняется)'!$M$36="230AC",'Опросный лист 2 (заполняется)'!$M$45="230AC",'Опросный лист 2 (заполняется)'!$Q$42="230AC"),'Опросный лист 2 (заполняется)'!$P$23*3,IF(OR(AND('Опросный лист 2 (заполняется)'!$M$36="230AC",'Опросный лист 2 (заполняется)'!$M$45="230AC"),AND('Опросный лист 2 (заполняется)'!$M$36="230AC",'Опросный лист 2 (заполняется)'!$Q$42="230AC"),AND('Опросный лист 2 (заполняется)'!$M$45="230AC",'Опросный лист 2 (заполняется)'!$Q$42="230AC")),'Опросный лист 2 (заполняется)'!$P$23*2,'Опросный лист 2 (заполняется)'!$P$23)),"")</f>
        <v/>
      </c>
      <c r="E46" s="96" t="str">
        <f>IF($B$46&lt;&gt;""," ","")</f>
        <v/>
      </c>
    </row>
    <row r="47" spans="1:5" x14ac:dyDescent="0.2">
      <c r="A47" s="95" t="str">
        <f t="shared" ref="A47:A52" si="3">IF(B47&lt;&gt;"",IF(A46&lt;&gt;"",A46+1,IF(A45&lt;&gt;"",A45+1,IF(A44&lt;&gt;"",A44+1,IF(A43&lt;&gt;"",A43+1,IF(A42&lt;&gt;"",A42+1,IF(A41&lt;&gt;"",A41+1,IF(A40&lt;&gt;"",A40+1,IF(A39&lt;&gt;"",A39+1,IF(A38&lt;&gt;"",A38+1,IF(A37&lt;&gt;"",A37+1,IF(A36&lt;&gt;"",A36+1,IF(A35&lt;&gt;"",A35+1,IF(A34&lt;&gt;"",A34+1,IF(A33&lt;&gt;"",A33+1,IF(A32&lt;&gt;"",A32+1,A31+1))))))))))))))),"")</f>
        <v/>
      </c>
      <c r="B47" s="95" t="str">
        <f>IF($B$31&lt;&gt;"",IF('Опросный лист 2 (заполняется)'!$Q$40=2,'-'!$A$36,IF('Опросный лист 2 (заполняется)'!$Q$40=4,'-'!$A$37,"")),"")</f>
        <v/>
      </c>
      <c r="C47" s="96" t="str">
        <f>_xlfn.IFNA(VLOOKUP($B$47,'-'!$A:$B,2,0),"")</f>
        <v/>
      </c>
      <c r="D47" s="95" t="str">
        <f>IF($B$47&lt;&gt;"",'Опросный лист 2 (заполняется)'!$P$23,"")</f>
        <v/>
      </c>
      <c r="E47" s="96" t="str">
        <f>IF($B$47&lt;&gt;""," ","")</f>
        <v/>
      </c>
    </row>
    <row r="48" spans="1:5" x14ac:dyDescent="0.2">
      <c r="A48" s="95" t="str">
        <f t="shared" si="3"/>
        <v/>
      </c>
      <c r="B48" s="95" t="str">
        <f>IF($B$31&lt;&gt;"",IF($B$33&lt;&gt;"",IF('Опросный лист 2 (заполняется)'!$M$35=2,'-'!$A$34,IF($B$35&lt;&gt;"",IF('Опросный лист 2 (заполняется)'!$M$44=2,'-'!$A$34,""),"")),""),"")</f>
        <v/>
      </c>
      <c r="C48" s="96" t="str">
        <f>_xlfn.IFNA(VLOOKUP($B$48,'-'!$A:$B,2,0),"")</f>
        <v/>
      </c>
      <c r="D48" s="95" t="str">
        <f>IF($B$48&lt;&gt;"",IF(AND('Опросный лист 2 (заполняется)'!$M$35=2,'Опросный лист 2 (заполняется)'!$M$44=2),'Опросный лист 2 (заполняется)'!$P$23*2,'Опросный лист 2 (заполняется)'!$P$23),"")</f>
        <v/>
      </c>
      <c r="E48" s="96" t="str">
        <f>IF($B$48&lt;&gt;""," ","")</f>
        <v/>
      </c>
    </row>
    <row r="49" spans="1:5" x14ac:dyDescent="0.2">
      <c r="A49" s="95" t="str">
        <f t="shared" si="3"/>
        <v/>
      </c>
      <c r="B49" s="95" t="str">
        <f>IF($B$31&lt;&gt;"",IF($B$33&lt;&gt;"",IF('Опросный лист 2 (заполняется)'!$M$35=4,'-'!$A$35,IF($B$35&lt;&gt;"",IF('Опросный лист 2 (заполняется)'!$M$44=4,'-'!$A$35,""),"")),""),"")</f>
        <v/>
      </c>
      <c r="C49" s="96" t="str">
        <f>_xlfn.IFNA(VLOOKUP($B$49,'-'!$A:$B,2,0),"")</f>
        <v/>
      </c>
      <c r="D49" s="95" t="str">
        <f>IF($B$49&lt;&gt;"",IF(AND('Опросный лист 2 (заполняется)'!$M$35=4,'Опросный лист 2 (заполняется)'!$M$44=4),'Опросный лист 2 (заполняется)'!$P$23*2,'Опросный лист 2 (заполняется)'!$P$23),"")</f>
        <v/>
      </c>
      <c r="E49" s="96" t="str">
        <f>IF($B$49&lt;&gt;""," ","")</f>
        <v/>
      </c>
    </row>
    <row r="50" spans="1:5" x14ac:dyDescent="0.2">
      <c r="A50" s="95" t="str">
        <f t="shared" si="3"/>
        <v/>
      </c>
      <c r="B50" s="95" t="str">
        <f>IF($B$31&lt;&gt;"",IF(AND($B$32='-'!$A$10,'Опросный лист 2 (заполняется)'!$G$46="+"),'-'!$A$38,""),"")</f>
        <v/>
      </c>
      <c r="C50" s="96" t="str">
        <f>_xlfn.IFNA(VLOOKUP($B$50,'-'!$A:$B,2,0),"")</f>
        <v/>
      </c>
      <c r="D50" s="95" t="str">
        <f>IF($B$50&lt;&gt;"",'Опросный лист 2 (заполняется)'!$P$23,"")</f>
        <v/>
      </c>
      <c r="E50" s="96" t="str">
        <f>IF($B$50&lt;&gt;""," ","")</f>
        <v/>
      </c>
    </row>
    <row r="51" spans="1:5" x14ac:dyDescent="0.2">
      <c r="A51" s="95" t="str">
        <f t="shared" si="3"/>
        <v/>
      </c>
      <c r="B51" s="95" t="str">
        <f>IF($B$31&lt;&gt;"",IF($B$31='-'!$A$7,IF('Опросный лист 2 (заполняется)'!$G$52="24DC",'-'!$A$41,IF('Опросный лист 2 (заполняется)'!$G$52="220DC",'-'!$A$40,IF('Опросный лист 2 (заполняется)'!$G$52="230AC",'-'!$A$39,""))),""),"")</f>
        <v/>
      </c>
      <c r="C51" s="96" t="str">
        <f>_xlfn.IFNA(VLOOKUP($B$51,'-'!$A:$B,2,0),"")</f>
        <v/>
      </c>
      <c r="D51" s="95" t="str">
        <f>IF($B$51&lt;&gt;"",'Опросный лист 2 (заполняется)'!$P$23,"")</f>
        <v/>
      </c>
      <c r="E51" s="96" t="str">
        <f>IF($B$51&lt;&gt;""," ","")</f>
        <v/>
      </c>
    </row>
    <row r="52" spans="1:5" x14ac:dyDescent="0.2">
      <c r="A52" s="95" t="str">
        <f t="shared" si="3"/>
        <v/>
      </c>
      <c r="B52" s="95" t="str">
        <f>IF($B$31&lt;&gt;"",IF($B$32&lt;&gt;"",IF('Опросный лист 2 (заполняется)'!$G$38=6.3,'-'!$A$46,IF('Опросный лист 2 (заполняется)'!$G$38=10,'-'!$A$47,IF('Опросный лист 2 (заполняется)'!$G$38=16,'-'!$A$48,IF('Опросный лист 2 (заполняется)'!$G$38=20,'-'!$A$49,IF('Опросный лист 2 (заполняется)'!$G$38=25,'-'!$A$50,IF('Опросный лист 2 (заполняется)'!$G$38=31.5,'-'!$A$51,IF('Опросный лист 2 (заполняется)'!$G$38=40,'-'!$A$52,IF('Опросный лист 2 (заполняется)'!$G$38=50,'-'!$A$53,IF('Опросный лист 2 (заполняется)'!$G$38=63,'-'!$A$54,IF('Опросный лист 2 (заполняется)'!$G$38=80,'-'!$A$55,IF('Опросный лист 2 (заполняется)'!$G$38=100,'-'!$A$56,IF('Опросный лист 2 (заполняется)'!$G$38=125,'-'!$A$57,"")))))))))))),""),"")</f>
        <v/>
      </c>
      <c r="C52" s="96" t="str">
        <f>_xlfn.IFNA(VLOOKUP($B$52,'-'!$A:$B,2,0),"")</f>
        <v/>
      </c>
      <c r="D52" s="95" t="str">
        <f>IF($B$52&lt;&gt;"",'Опросный лист 2 (заполняется)'!$P$23*3,"")</f>
        <v/>
      </c>
      <c r="E52" s="96" t="str">
        <f>IF($B$52&lt;&gt;""," ","")</f>
        <v/>
      </c>
    </row>
    <row r="53" spans="1:5" x14ac:dyDescent="0.2">
      <c r="A53" s="95" t="str">
        <f>IF(B53&lt;&gt;"",IF(A52&lt;&gt;"",A52+1,IF(A51&lt;&gt;"",A51+1,IF(A50&lt;&gt;"",A50+1,IF(A49&lt;&gt;"",A49+1,IF(A48&lt;&gt;"",A48+1,IF(A47&lt;&gt;"",A47+1,IF(A46&lt;&gt;"",A46+1,IF(A45&lt;&gt;"",A45+1,IF(A44&lt;&gt;"",A44+1,IF(A43&lt;&gt;"",A43+1,IF(A42&lt;&gt;"",A42+1,IF(A41&lt;&gt;"",A41+1,IF(A40&lt;&gt;"",A40+1,IF(A39&lt;&gt;"",A39+1,IF(A38&lt;&gt;"",A38+1,A37+1))))))))))))))),"")</f>
        <v/>
      </c>
      <c r="B53" s="95" t="str">
        <f>IF($B$31&lt;&gt;"",'-'!$A$33,"")</f>
        <v/>
      </c>
      <c r="C53" s="96" t="str">
        <f>_xlfn.IFNA(VLOOKUP($B$53,'-'!$A:$B,2,0),"")</f>
        <v/>
      </c>
      <c r="D53" s="95" t="str">
        <f>IF($B$53&lt;&gt;"",1+'Опросный лист 2 (заполняется)'!$Q$52,"")</f>
        <v/>
      </c>
      <c r="E53" s="96" t="str">
        <f>IF($B$53&lt;&gt;""," ","")</f>
        <v/>
      </c>
    </row>
    <row r="54" spans="1:5" ht="15.75" thickBot="1" x14ac:dyDescent="0.25">
      <c r="A54" s="97"/>
      <c r="B54" s="97"/>
      <c r="C54" s="98"/>
      <c r="D54" s="97"/>
      <c r="E54" s="98"/>
    </row>
    <row r="55" spans="1:5" s="93" customFormat="1" ht="30" customHeight="1" thickBot="1" x14ac:dyDescent="0.3">
      <c r="A55" s="134" t="s">
        <v>181</v>
      </c>
      <c r="B55" s="135"/>
      <c r="C55" s="135"/>
      <c r="D55" s="135"/>
      <c r="E55" s="136"/>
    </row>
    <row r="56" spans="1:5" x14ac:dyDescent="0.2">
      <c r="A56" s="199" t="s">
        <v>155</v>
      </c>
      <c r="B56" s="199" t="s">
        <v>0</v>
      </c>
      <c r="C56" s="199" t="s">
        <v>156</v>
      </c>
      <c r="D56" s="199" t="s">
        <v>1</v>
      </c>
      <c r="E56" s="199" t="s">
        <v>157</v>
      </c>
    </row>
    <row r="57" spans="1:5" ht="15.75" thickBot="1" x14ac:dyDescent="0.25">
      <c r="A57" s="200"/>
      <c r="B57" s="200"/>
      <c r="C57" s="200"/>
      <c r="D57" s="200"/>
      <c r="E57" s="200"/>
    </row>
    <row r="58" spans="1:5" x14ac:dyDescent="0.2">
      <c r="A58" s="95" t="str">
        <f>IF(B58&lt;&gt;"",1,"")</f>
        <v/>
      </c>
      <c r="B58" s="95" t="str">
        <f>IF(AND('Опросный лист 3 (заполняется)'!$J$16=6,'Опросный лист 3 (заполняется)'!$K$16="K"),'-'!$A$9,IF(AND('Опросный лист 3 (заполняется)'!$J$16=6,'Опросный лист 3 (заполняется)'!$K$16="A"),'-'!$A$7,IF(AND('Опросный лист 3 (заполняется)'!$J$16=4,'Опросный лист 3 (заполняется)'!$K$16="K"),'-'!$A$9,IF(AND('Опросный лист 3 (заполняется)'!$J$16=4,'Опросный лист 3 (заполняется)'!$K$16="A"),'-'!$A$7,""))))</f>
        <v/>
      </c>
      <c r="C58" s="96" t="str">
        <f>_xlfn.IFNA(VLOOKUP($B$58,'-'!$A:$B,2,0),"")</f>
        <v/>
      </c>
      <c r="D58" s="95" t="str">
        <f>IF($B$58&lt;&gt;"",'Опросный лист 3 (заполняется)'!$P$23,"")</f>
        <v/>
      </c>
      <c r="E58" s="96" t="str">
        <f>IF($B$58&lt;&gt;"",IF(AND($B$58='-'!$A$7,'Опросный лист 3 (заполняется)'!$J$16=4),"ЗАМЕНА, ВН на 400А только под заказ",IF(AND($B$58='-'!$A$9,'Опросный лист 3 (заполняется)'!$J$16=4),"ЗАМЕНА, ВН на 400А только под заказ"," ")),"")</f>
        <v/>
      </c>
    </row>
    <row r="59" spans="1:5" x14ac:dyDescent="0.2">
      <c r="A59" s="95" t="str">
        <f>IF(B59&lt;&gt;"",IF(A58&lt;&gt;"",A58+1,""),"")</f>
        <v/>
      </c>
      <c r="B59" s="95" t="str">
        <f>IF($B$58&lt;&gt;"",IF(AND('Опросный лист 3 (заполняется)'!$G$16="F",'Опросный лист 3 (заполняется)'!$K$16="A",'Опросный лист 3 (заполняется)'!$G$36="+",'Опросный лист 3 (заполняется)'!$G$37="-",'Опросный лист 3 (заполняется)'!$G$44="+"),'-'!$A$10,IF(AND('Опросный лист 3 (заполняется)'!$G$16="F",'Опросный лист 3 (заполняется)'!$K$16="A",'Опросный лист 3 (заполняется)'!$G$36="+",'Опросный лист 3 (заполняется)'!$G$37="-",'Опросный лист 3 (заполняется)'!$G$44="-"),'-'!$A$11,IF(AND('Опросный лист 3 (заполняется)'!$G$16="F",'Опросный лист 3 (заполняется)'!$K$16="K",'Опросный лист 3 (заполняется)'!$G$36="+",'Опросный лист 3 (заполняется)'!$G$37="-",'Опросный лист 3 (заполняется)'!$G$44=""),'-'!$A$11,""))),"")</f>
        <v/>
      </c>
      <c r="C59" s="96" t="str">
        <f>_xlfn.IFNA(VLOOKUP($B$59,'-'!$A:$B,2,0),"")</f>
        <v/>
      </c>
      <c r="D59" s="95" t="str">
        <f>IF($B$59&lt;&gt;"",'Опросный лист 3 (заполняется)'!$P$23,"")</f>
        <v/>
      </c>
      <c r="E59" s="96" t="str">
        <f>IF($B$59&lt;&gt;""," ","")</f>
        <v/>
      </c>
    </row>
    <row r="60" spans="1:5" x14ac:dyDescent="0.2">
      <c r="A60" s="95" t="str">
        <f>IF(B60&lt;&gt;"",IF(A59&lt;&gt;"",A59+1,IF(A58&lt;&gt;"",A58+1,"")),"")</f>
        <v/>
      </c>
      <c r="B60" s="95" t="str">
        <f>IF($B$58&lt;&gt;"",IF(AND('Опросный лист 3 (заполняется)'!$N$16="E",AND($B$59&lt;&gt;'-'!$A$10,$B$59&lt;&gt;'-'!$A$11)),'-'!$A$14,IF(AND('Опросный лист 3 (заполняется)'!$N$16="E",OR($B$59='-'!$A$10,$B$59='-'!$A$11)),'-'!$A$15,"")),"")</f>
        <v/>
      </c>
      <c r="C60" s="96" t="str">
        <f>_xlfn.IFNA(VLOOKUP($B$60,'-'!$A:$B,2,0),"")</f>
        <v/>
      </c>
      <c r="D60" s="95" t="str">
        <f>IF($B$60&lt;&gt;"",'Опросный лист 3 (заполняется)'!$P$23,"")</f>
        <v/>
      </c>
      <c r="E60" s="96" t="str">
        <f>IF($B$60&lt;&gt;""," ","")</f>
        <v/>
      </c>
    </row>
    <row r="61" spans="1:5" x14ac:dyDescent="0.2">
      <c r="A61" s="95" t="str">
        <f>IF(B61&lt;&gt;"",IF(A60&lt;&gt;"",A60+1,IF(A59&lt;&gt;"",A59+1,A58+1)),"")</f>
        <v/>
      </c>
      <c r="B61" s="95" t="str">
        <f>IF($B$58&lt;&gt;"",IF(AND($B$60='-'!$A$14,'Опросный лист 3 (заполняется)'!$M$38="+"),'-'!$A$24,IF(AND($B$60='-'!$A$15,'Опросный лист 3 (заполняется)'!$M$38="+"),'-'!$A$25,"")),"")</f>
        <v/>
      </c>
      <c r="C61" s="96" t="str">
        <f>_xlfn.IFNA(VLOOKUP($B$61,'-'!$A:$B,2,0),"")</f>
        <v/>
      </c>
      <c r="D61" s="95" t="str">
        <f>IF($B$61&lt;&gt;"",'Опросный лист 3 (заполняется)'!$P$23,"")</f>
        <v/>
      </c>
      <c r="E61" s="96" t="str">
        <f>IF($B$61&lt;&gt;""," ","")</f>
        <v/>
      </c>
    </row>
    <row r="62" spans="1:5" x14ac:dyDescent="0.2">
      <c r="A62" s="95" t="str">
        <f>IF(B62&lt;&gt;"",IF(A61&lt;&gt;"",A61+1,IF(A60&lt;&gt;"",A60+1,IF(A59&lt;&gt;"",A59+1,A58+1))),"")</f>
        <v/>
      </c>
      <c r="B62" s="95" t="str">
        <f>IF($B$58&lt;&gt;"",IF('Опросный лист 3 (заполняется)'!$Q$16="EB",'-'!$A$16,""),"")</f>
        <v/>
      </c>
      <c r="C62" s="96" t="str">
        <f>_xlfn.IFNA(VLOOKUP($B$62,'-'!$A:$B,2,0),"")</f>
        <v/>
      </c>
      <c r="D62" s="95" t="str">
        <f>IF($B$62&lt;&gt;"",'Опросный лист 3 (заполняется)'!$P$23,"")</f>
        <v/>
      </c>
      <c r="E62" s="96" t="str">
        <f>IF($B$62&lt;&gt;""," ","")</f>
        <v/>
      </c>
    </row>
    <row r="63" spans="1:5" x14ac:dyDescent="0.2">
      <c r="A63" s="95" t="str">
        <f>IF(B63&lt;&gt;"",IF(A62&lt;&gt;"",A62+1,IF(A61&lt;&gt;"",A61+1,IF(A60&lt;&gt;"",A60+1,IF(A59&lt;&gt;"",A59+1,A58+1)))),"")</f>
        <v/>
      </c>
      <c r="B63" s="95" t="str">
        <f>IF($B$58&lt;&gt;"",IF(AND($B$62='-'!$A$16,'Опросный лист 3 (заполняется)'!$M$47="+",'Опросный лист 3 (заполняется)'!$N$47&lt;&gt;"ОШИБКА"),'-'!$A$24,""),"")</f>
        <v/>
      </c>
      <c r="C63" s="96" t="str">
        <f>_xlfn.IFNA(VLOOKUP($B$63,'-'!$A:$B,2,0),"")</f>
        <v/>
      </c>
      <c r="D63" s="95" t="str">
        <f>IF($B$63&lt;&gt;"",'Опросный лист 3 (заполняется)'!$P$23,"")</f>
        <v/>
      </c>
      <c r="E63" s="96" t="str">
        <f>IF($B$63&lt;&gt;""," ","")</f>
        <v/>
      </c>
    </row>
    <row r="64" spans="1:5" x14ac:dyDescent="0.2">
      <c r="A64" s="95" t="str">
        <f>IF(B64&lt;&gt;"",IF(A63&lt;&gt;"",A63+1,IF(A62&lt;&gt;"",A62+1,IF(A61&lt;&gt;"",A61+1,IF(A60&lt;&gt;"",A60+1,IF(A59&lt;&gt;"",A59+1,A58+1))))),"")</f>
        <v/>
      </c>
      <c r="B64" s="95" t="str">
        <f>IF(AND($B$58&lt;&gt;"",OR($B$61&lt;&gt;"",$B$63&lt;&gt;"",'Опросный лист 3 (заполняется)'!$M$16="L")),'-'!$A$18,"")</f>
        <v/>
      </c>
      <c r="C64" s="96" t="str">
        <f>_xlfn.IFNA(VLOOKUP($B$64,'-'!$A:$B,2,0),"")</f>
        <v/>
      </c>
      <c r="D64" s="95" t="str">
        <f>IF($B$64&lt;&gt;"",'Опросный лист 3 (заполняется)'!$P$23,"")</f>
        <v/>
      </c>
      <c r="E64" s="96" t="str">
        <f>IF($B$64&lt;&gt;""," ","")</f>
        <v/>
      </c>
    </row>
    <row r="65" spans="1:5" x14ac:dyDescent="0.2">
      <c r="A65" s="95" t="str">
        <f>IF(B65&lt;&gt;"",IF(A64&lt;&gt;"",A64+1,IF(A63&lt;&gt;"",A63+1,IF(A62&lt;&gt;"",A62+1,IF(A61&lt;&gt;"",A61+1,IF(A60&lt;&gt;"",A60+1,IF(A59&lt;&gt;"",A59+1,A58+1)))))),"")</f>
        <v/>
      </c>
      <c r="B65" s="95" t="str">
        <f>IF($B$58&lt;&gt;"",IF(OR($B$60&lt;&gt;"",$B$62&lt;&gt;""),'-'!$A$26,""),"")</f>
        <v/>
      </c>
      <c r="C65" s="96" t="str">
        <f>_xlfn.IFNA(VLOOKUP($B$65,'-'!$A:$B,2,0),"")</f>
        <v/>
      </c>
      <c r="D65" s="95" t="str">
        <f>IF($B$65&lt;&gt;"",IF(AND($B$58&lt;&gt;"",$B$60&lt;&gt;"",$B$62&lt;&gt;""),'Опросный лист 3 (заполняется)'!$P$23*3,IF(OR(AND($B$58&lt;&gt;"",$B$60&lt;&gt;""),AND($B$58&lt;&gt;"",$B$62&lt;&gt;""),AND($B$60&lt;&gt;"",$B$62&lt;&gt;"")),'Опросный лист 3 (заполняется)'!$P$23*2,'Опросный лист 3 (заполняется)'!$P$23)),"")</f>
        <v/>
      </c>
      <c r="E65" s="96" t="str">
        <f>IF($B$65&lt;&gt;""," ","")</f>
        <v/>
      </c>
    </row>
    <row r="66" spans="1:5" x14ac:dyDescent="0.2">
      <c r="A66" s="95" t="str">
        <f t="shared" ref="A66" si="4">IF(B66&lt;&gt;"",IF(A65&lt;&gt;"",A65+1,IF(A64&lt;&gt;"",A64+1,IF(A63&lt;&gt;"",A63+1,IF(A62&lt;&gt;"",A62+1,IF(A61&lt;&gt;"",A61+1,IF(A60&lt;&gt;"",A60+1,IF(A59&lt;&gt;"",A59+1,A58+1))))))),"")</f>
        <v/>
      </c>
      <c r="B66" s="95" t="str">
        <f>IF($B$58&lt;&gt;"",IF($B$65&lt;&gt;"",'-'!$A$27,""),"")</f>
        <v/>
      </c>
      <c r="C66" s="96" t="str">
        <f>_xlfn.IFNA(VLOOKUP($B$66,'-'!$A:$B,2,0),"")</f>
        <v/>
      </c>
      <c r="D66" s="95" t="str">
        <f>$D$65</f>
        <v/>
      </c>
      <c r="E66" s="96" t="str">
        <f>IF($B$66&lt;&gt;""," ","")</f>
        <v/>
      </c>
    </row>
    <row r="67" spans="1:5" x14ac:dyDescent="0.2">
      <c r="A67" s="95" t="str">
        <f>IF(B67&lt;&gt;"",IF(A66&lt;&gt;"",A66+1,IF(A65&lt;&gt;"",A65+1,IF(A64&lt;&gt;"",A64+1,IF(A63&lt;&gt;"",A63+1,IF(A62&lt;&gt;"",A62+1,IF(A61&lt;&gt;"",A61+1,IF(A60&lt;&gt;"",A60+1,IF(A59&lt;&gt;"",A59+1,A58+1)))))))),"")</f>
        <v/>
      </c>
      <c r="B67" s="95" t="str">
        <f>IF($B$58&lt;&gt;"",IF(AND('Опросный лист 3 (заполняется)'!$P$16="NM",'Опросный лист 3 (заполняется)'!$Q$37=24),'-'!$A$20,IF(AND('Опросный лист 3 (заполняется)'!$P$16="NM",'Опросный лист 3 (заполняется)'!$Q$37=220),'-'!$A$19,"")),"")</f>
        <v/>
      </c>
      <c r="C67" s="96" t="str">
        <f>_xlfn.IFNA(VLOOKUP($B$67,'-'!$A:$B,2,0),"")</f>
        <v/>
      </c>
      <c r="D67" s="95" t="str">
        <f>IF($B$67&lt;&gt;"",'Опросный лист 3 (заполняется)'!$P$23,"")</f>
        <v/>
      </c>
      <c r="E67" s="96" t="str">
        <f>IF($B$67&lt;&gt;""," ","")</f>
        <v/>
      </c>
    </row>
    <row r="68" spans="1:5" x14ac:dyDescent="0.2">
      <c r="A68" s="95" t="str">
        <f>IF(B68&lt;&gt;"",IF(A67&lt;&gt;"",A67+1,IF(A66&lt;&gt;"",A66+1,IF(A65&lt;&gt;"",A65+1,IF(A64&lt;&gt;"",A64+1,IF(A63&lt;&gt;"",A63+1,IF(A62&lt;&gt;"",A62+1,IF(A61&lt;&gt;"",A61+1,IF(A60&lt;&gt;"",A60+1,IF(A59&lt;&gt;"",A59+1,A58+1))))))))),"")</f>
        <v/>
      </c>
      <c r="B68" s="95" t="str">
        <f>IF($B$58&lt;&gt;"",IF($B$67&lt;&gt;"",IF(OR('Опросный лист 3 (заполняется)'!$G$30=750,'Опросный лист 3 (заполняется)'!$G$30=800),IF(AND('Опросный лист 3 (заполняется)'!$Q$35="справа",'Опросный лист 3 (заполняется)'!$K$16="A"),'-'!$A$22,IF(AND('Опросный лист 3 (заполняется)'!$Q$35="справа",'Опросный лист 3 (заполняется)'!$K$16="K"),'-'!$A$21,IF(AND('Опросный лист 3 (заполняется)'!$Q$35="слева",OR('Опросный лист 3 (заполняется)'!$K$16="K",'Опросный лист 3 (заполняется)'!$K$16="A")),'-'!$A$21,""))),IF('Опросный лист 3 (заполняется)'!$G$30=1000,IF(AND('Опросный лист 3 (заполняется)'!$Q$35="справа",'Опросный лист 3 (заполняется)'!$K$16="A"),'-'!$A$22,IF(AND('Опросный лист 3 (заполняется)'!$Q$35="справа",'Опросный лист 3 (заполняется)'!$K$16="K"),'-'!$A$21,IF(AND('Опросный лист 3 (заполняется)'!$Q$35="слева",OR('Опросный лист 3 (заполняется)'!$K$16="K",'Опросный лист 3 (заполняется)'!$K$16="A"),'Опросный лист 3 (заполняется)'!$Q$16="EB",'Опросный лист 3 (заполняется)'!$M$47="+",'Опросный лист 3 (заполняется)'!$M$16="R"),'-'!$A$21,IF(AND('Опросный лист 3 (заполняется)'!$Q$35="слева",OR('Опросный лист 3 (заполняется)'!$K$16="K",'Опросный лист 3 (заполняется)'!$K$16="A"),OR(AND('Опросный лист 3 (заполняется)'!$Q$16="EB",'Опросный лист 3 (заполняется)'!$M$47="-"),'Опросный лист 3 (заполняется)'!$Q$16="_"),'Опросный лист 3 (заполняется)'!$M$16="R"),'-'!$A$23,"")))),"")),""),"")</f>
        <v/>
      </c>
      <c r="C68" s="96" t="str">
        <f>_xlfn.IFNA(VLOOKUP($B$68,'-'!$A:$B,2,0),"")</f>
        <v/>
      </c>
      <c r="D68" s="95" t="str">
        <f>IF($B$68&lt;&gt;"",'Опросный лист 3 (заполняется)'!$P$23,"")</f>
        <v/>
      </c>
      <c r="E68" s="96" t="str">
        <f>IF($B$68&lt;&gt;"","особенности применения описаны в статье на сайте (см. QR-код на опроснике)","")</f>
        <v/>
      </c>
    </row>
    <row r="69" spans="1:5" x14ac:dyDescent="0.2">
      <c r="A69" s="95" t="str">
        <f>IF(B69&lt;&gt;"",IF(A68&lt;&gt;"",A68+1,IF(A67&lt;&gt;"",A67+1,IF(A66&lt;&gt;"",A66+1,IF(A65&lt;&gt;"",A65+1,IF(A64&lt;&gt;"",A64+1,IF(A63&lt;&gt;"",A63+1,IF(A62&lt;&gt;"",A62+1,IF(A61&lt;&gt;"",A61+1,IF(A60&lt;&gt;"",A60+1,IF(A59&lt;&gt;"",A59+1,A58+1)))))))))),"")</f>
        <v/>
      </c>
      <c r="B69" s="95" t="str">
        <f>IF($B$58&lt;&gt;"",IF(AND($B$58&lt;&gt;"",$B$67&lt;&gt;""),'-'!$A$28,""),"")</f>
        <v/>
      </c>
      <c r="C69" s="96" t="str">
        <f>_xlfn.IFNA(VLOOKUP($B$69,'-'!$A:$B,2,0),"")</f>
        <v/>
      </c>
      <c r="D69" s="95" t="str">
        <f>IF($B$69&lt;&gt;"",IF($B$69='-'!$A$28,'Опросный лист 3 (заполняется)'!$P$23,IF(AND(AND($B$58&lt;&gt;"",$B$67="",'Опросный лист 3 (заполняется)'!$Q$42="-"),AND($B$60&lt;&gt;"",'Опросный лист 3 (заполняется)'!$M$36="-"),AND($B$62&lt;&gt;"",'Опросный лист 3 (заполняется)'!$M$45="-")),'Опросный лист 3 (заполняется)'!$P$23*3,IF(OR(AND(AND($B$58&lt;&gt;"",$B$67="",'Опросный лист 3 (заполняется)'!$Q$42="-"),AND($B$60&lt;&gt;"",'Опросный лист 3 (заполняется)'!$M$36="-")),AND(AND($B$58&lt;&gt;"",$B$67="",'Опросный лист 3 (заполняется)'!$Q$42="-"),AND($B$62&lt;&gt;"",'Опросный лист 3 (заполняется)'!$M$45="-")),AND(AND($B$60&lt;&gt;"",'Опросный лист 3 (заполняется)'!$M$36="-"),AND($B$62&lt;&gt;"",'Опросный лист 3 (заполняется)'!$M$45="-"))),'Опросный лист 3 (заполняется)'!$P$23*2,'Опросный лист 3 (заполняется)'!$P$23))),"")</f>
        <v/>
      </c>
      <c r="E69" s="96" t="str">
        <f>IF($B$69&lt;&gt;""," ","")</f>
        <v/>
      </c>
    </row>
    <row r="70" spans="1:5" x14ac:dyDescent="0.2">
      <c r="A70" s="95" t="str">
        <f>IF(B70&lt;&gt;"",IF(A69&lt;&gt;"",A69+1,IF(A68&lt;&gt;"",A68+1,IF(A67&lt;&gt;"",A67+1,IF(A66&lt;&gt;"",A66+1,IF(A65&lt;&gt;"",A65+1,IF(A64&lt;&gt;"",A64+1,IF(A63&lt;&gt;"",A63+1,IF(A62&lt;&gt;"",A62+1,IF(A61&lt;&gt;"",A61+1,IF(A60&lt;&gt;"",A60+1,IF(A59&lt;&gt;"",A59+1,A58+1))))))))))),"")</f>
        <v/>
      </c>
      <c r="B70" s="95" t="str">
        <f>IF($B$58&lt;&gt;"",IF(OR(AND($B$58&lt;&gt;"",$B$67="",'Опросный лист 3 (заполняется)'!$Q$42="-"),AND($B$60&lt;&gt;"",'Опросный лист 3 (заполняется)'!$M$36="-"),AND($B$62&lt;&gt;"",'Опросный лист 3 (заполняется)'!$M$45="-")),'-'!$A$29,""),"")</f>
        <v/>
      </c>
      <c r="C70" s="96" t="str">
        <f>_xlfn.IFNA(VLOOKUP($B$70,'-'!$A:$B,2,0),"")</f>
        <v/>
      </c>
      <c r="D70" s="95" t="str">
        <f>IF($B$70&lt;&gt;"",IF(AND(AND($B$58&lt;&gt;"",$B$67="",'Опросный лист 3 (заполняется)'!$Q$42="-"),AND($B$60&lt;&gt;"",'Опросный лист 3 (заполняется)'!$M$36="-"),AND($B$62&lt;&gt;"",'Опросный лист 3 (заполняется)'!$M$45="-")),'Опросный лист 3 (заполняется)'!$P$23*3,IF(OR(AND(AND($B$58&lt;&gt;"",$B$67="",'Опросный лист 3 (заполняется)'!$Q$42="-"),AND($B$60&lt;&gt;"",'Опросный лист 3 (заполняется)'!$M$36="-")),AND(AND($B$58&lt;&gt;"",$B$67="",'Опросный лист 3 (заполняется)'!$Q$42="-"),AND($B$62&lt;&gt;"",'Опросный лист 3 (заполняется)'!$M$45="-")),AND(AND($B$60&lt;&gt;"",'Опросный лист 3 (заполняется)'!$M$36="-"),AND($B$62&lt;&gt;"",'Опросный лист 3 (заполняется)'!$M$45="-"))),'Опросный лист 3 (заполняется)'!$P$23*2,'Опросный лист 3 (заполняется)'!$P$23)),"")</f>
        <v/>
      </c>
      <c r="E70" s="96" t="str">
        <f>IF($B$70&lt;&gt;""," ","")</f>
        <v/>
      </c>
    </row>
    <row r="71" spans="1:5" x14ac:dyDescent="0.2">
      <c r="A71" s="95" t="str">
        <f>IF(B71&lt;&gt;"",IF(A70&lt;&gt;"",A70+1,IF(A69&lt;&gt;"",A69+1,IF(A68&lt;&gt;"",A68+1,IF(A67&lt;&gt;"",A67+1,IF(A66&lt;&gt;"",A66+1,IF(A65&lt;&gt;"",A65+1,IF(A64&lt;&gt;"",A64+1,IF(A63&lt;&gt;"",A63+1,IF(A62&lt;&gt;"",A62+1,IF(A61&lt;&gt;"",A61+1,IF(A60&lt;&gt;"",A60+1,IF(A59&lt;&gt;"",A59+1,A58+1)))))))))))),"")</f>
        <v/>
      </c>
      <c r="B71" s="95" t="str">
        <f>IF($B$58&lt;&gt;"",IF($B$67="",IF('Опросный лист 3 (заполняется)'!$Q$42="-",IF($B$60&lt;&gt;"",IF('Опросный лист 3 (заполняется)'!$M$36="24DC",IF(OR($B$62="",AND($B$62&lt;&gt;"",OR('Опросный лист 3 (заполняется)'!$M$45="24DC",'Опросный лист 3 (заполняется)'!$M$45="-"))),'-'!$A$32,""),IF(AND('Опросный лист 3 (заполняется)'!$M$36="-",'Опросный лист 3 (заполняется)'!$M$45="24DC"),'-'!$A$32,"")),IF($B$62&lt;&gt;"",IF('Опросный лист 3 (заполняется)'!$M$45="24DC",'-'!$A$32,""),"")),IF('Опросный лист 3 (заполняется)'!$Q$42="24DC",IF($B$60&lt;&gt;"",IF('Опросный лист 3 (заполняется)'!$M$36="24DC",IF(OR($B$62="",AND($B$62&lt;&gt;"",OR('Опросный лист 3 (заполняется)'!$M$45="24DC",'Опросный лист 3 (заполняется)'!$M$45="-"))),'-'!$A$32,""),IF(AND('Опросный лист 3 (заполняется)'!$M$36="-",'Опросный лист 3 (заполняется)'!$M$45="24DC"),'-'!$A$32,IF(AND('Опросный лист 3 (заполняется)'!$M$36="-",'Опросный лист 3 (заполняется)'!$M$45="-"),'-'!$A$32,""))),IF($B$62&lt;&gt;"",IF('Опросный лист 3 (заполняется)'!$M$45="24DC",'-'!$A$32,""),"")),"")),IF($B$60&lt;&gt;"",IF('Опросный лист 3 (заполняется)'!$M$36="24DC",IF(OR($B$62="",AND($B$62&lt;&gt;"",OR('Опросный лист 3 (заполняется)'!$M$45="24DC",'Опросный лист 3 (заполняется)'!$M$45="-"))),'-'!$A$32,""),IF(AND('Опросный лист 3 (заполняется)'!$M$36="-",'Опросный лист 3 (заполняется)'!$M$45="24DC"),'-'!$A$32,"")),IF($B$62&lt;&gt;"",IF('Опросный лист 3 (заполняется)'!$M$45="24DC",'-'!$A$32,""),""))),"")</f>
        <v/>
      </c>
      <c r="C71" s="96" t="str">
        <f>_xlfn.IFNA(VLOOKUP($B$71,'-'!$A:$B,2,0),"")</f>
        <v/>
      </c>
      <c r="D71" s="95" t="str">
        <f>IF($B$71&lt;&gt;"",IF(AND('Опросный лист 3 (заполняется)'!$M$36="24DC",'Опросный лист 3 (заполняется)'!$M$45="24DC",'Опросный лист 3 (заполняется)'!$Q$42="24DC"),'Опросный лист 3 (заполняется)'!$P$23*3,IF(OR(AND('Опросный лист 3 (заполняется)'!$M$36="24DC",'Опросный лист 3 (заполняется)'!$M$45="24DC"),AND('Опросный лист 3 (заполняется)'!$M$36="24DC",'Опросный лист 3 (заполняется)'!$Q$42="24DC"),AND('Опросный лист 3 (заполняется)'!$M$45="24DC",'Опросный лист 3 (заполняется)'!$Q$42="24DC")),'Опросный лист 3 (заполняется)'!$P$23*2,'Опросный лист 3 (заполняется)'!$P$23)),"")</f>
        <v/>
      </c>
      <c r="E71" s="96" t="str">
        <f>IF($B$71&lt;&gt;""," ","")</f>
        <v/>
      </c>
    </row>
    <row r="72" spans="1:5" x14ac:dyDescent="0.2">
      <c r="A72" s="95" t="str">
        <f>IF(B72&lt;&gt;"",IF(A71&lt;&gt;"",A71+1,IF(A70&lt;&gt;"",A70+1,IF(A69&lt;&gt;"",A69+1,IF(A68&lt;&gt;"",A68+1,IF(A67&lt;&gt;"",A67+1,IF(A66&lt;&gt;"",A66+1,IF(A65&lt;&gt;"",A65+1,IF(A64&lt;&gt;"",A64+1,IF(A63&lt;&gt;"",A63+1,IF(A62&lt;&gt;"",A62+1,IF(A61&lt;&gt;"",A61+1,IF(A60&lt;&gt;"",A60+1,IF(A59&lt;&gt;"",A59+1,A58+1))))))))))))),"")</f>
        <v/>
      </c>
      <c r="B72" s="95" t="str">
        <f>IF($B$58&lt;&gt;"",IF($B$67="",IF('Опросный лист 3 (заполняется)'!$Q$42="-",IF($B$60&lt;&gt;"",IF('Опросный лист 3 (заполняется)'!$M$36="220DC",IF(OR($B$62="",AND($B$62&lt;&gt;"",OR('Опросный лист 3 (заполняется)'!$M$45="220DC",'Опросный лист 3 (заполняется)'!$M$45="-"))),'-'!$A$31,""),IF(AND('Опросный лист 3 (заполняется)'!$M$36="-",'Опросный лист 3 (заполняется)'!$M$45="220DC"),'-'!$A$31,"")),IF($B$62&lt;&gt;"",IF('Опросный лист 3 (заполняется)'!$M$45="220DC",'-'!$A$31,""),"")),IF('Опросный лист 3 (заполняется)'!$Q$42="220DC",IF($B$60&lt;&gt;"",IF('Опросный лист 3 (заполняется)'!$M$36="220DC",IF(OR($B$62="",AND($B$62&lt;&gt;"",OR('Опросный лист 3 (заполняется)'!$M$45="220DC",'Опросный лист 3 (заполняется)'!$M$45="-"))),'-'!$A$31,""),IF(AND('Опросный лист 3 (заполняется)'!$M$36="-",'Опросный лист 3 (заполняется)'!$M$45="220DC"),'-'!$A$31,IF(AND('Опросный лист 3 (заполняется)'!$M$36="-",'Опросный лист 3 (заполняется)'!$M$45="-"),'-'!$A$31,""))),IF($B$62&lt;&gt;"",IF('Опросный лист 3 (заполняется)'!$M$45="220DC",'-'!$A$31,""),"")),"")),IF($B$60&lt;&gt;"",IF('Опросный лист 3 (заполняется)'!$M$36="220DC",IF(OR($B$62="",AND($B$62&lt;&gt;"",OR('Опросный лист 3 (заполняется)'!$M$45="220DC",'Опросный лист 3 (заполняется)'!$M$45="-"))),'-'!$A$31,""),IF(AND('Опросный лист 3 (заполняется)'!$M$36="-",'Опросный лист 3 (заполняется)'!$M$45="220DC"),'-'!$A$31,"")),IF($B$62&lt;&gt;"",IF('Опросный лист 3 (заполняется)'!$M$45="220DC",'-'!$A$31,""),""))),"")</f>
        <v/>
      </c>
      <c r="C72" s="96" t="str">
        <f>_xlfn.IFNA(VLOOKUP($B$72,'-'!$A:$B,2,0),"")</f>
        <v/>
      </c>
      <c r="D72" s="95" t="str">
        <f>IF($B$72&lt;&gt;"",IF(AND('Опросный лист 3 (заполняется)'!$M$36="220DC",'Опросный лист 3 (заполняется)'!$M$45="220DC",'Опросный лист 3 (заполняется)'!$Q$42="220DC"),'Опросный лист 3 (заполняется)'!$P$23*3,IF(OR(AND('Опросный лист 3 (заполняется)'!$M$36="220DC",'Опросный лист 3 (заполняется)'!$M$45="220DC"),AND('Опросный лист 3 (заполняется)'!$M$36="220DC",'Опросный лист 3 (заполняется)'!$Q$42="220DC"),AND('Опросный лист 3 (заполняется)'!$M$45="220DC",'Опросный лист 3 (заполняется)'!$Q$42="220DC")),'Опросный лист 3 (заполняется)'!$P$23*2,'Опросный лист 3 (заполняется)'!$P$23)),"")</f>
        <v/>
      </c>
      <c r="E72" s="96" t="str">
        <f>IF($B$72&lt;&gt;""," ","")</f>
        <v/>
      </c>
    </row>
    <row r="73" spans="1:5" x14ac:dyDescent="0.2">
      <c r="A73" s="95" t="str">
        <f>IF(B73&lt;&gt;"",IF(A72&lt;&gt;"",A72+1,IF(A71&lt;&gt;"",A71+1,IF(A70&lt;&gt;"",A70+1,IF(A69&lt;&gt;"",A69+1,IF(A68&lt;&gt;"",A68+1,IF(A67&lt;&gt;"",A67+1,IF(A66&lt;&gt;"",A66+1,IF(A65&lt;&gt;"",A65+1,IF(A64&lt;&gt;"",A64+1,IF(A63&lt;&gt;"",A63+1,IF(A62&lt;&gt;"",A62+1,IF(A61&lt;&gt;"",A61+1,IF(A60&lt;&gt;"",A60+1,IF(A59&lt;&gt;"",A59+1,A58+1)))))))))))))),"")</f>
        <v/>
      </c>
      <c r="B73" s="95" t="str">
        <f>IF($B$58&lt;&gt;"",IF($B$67="",IF('Опросный лист 3 (заполняется)'!$Q$42="-",IF($B$60&lt;&gt;"",IF('Опросный лист 3 (заполняется)'!$M$36="230AC",IF(OR($B$62="",AND($B$62&lt;&gt;"",OR('Опросный лист 3 (заполняется)'!$M$45="230AC",'Опросный лист 3 (заполняется)'!$M$45="-"))),'-'!$A$30,""),IF(AND('Опросный лист 3 (заполняется)'!$M$36="-",'Опросный лист 3 (заполняется)'!$M$45="230AC"),'-'!$A$30,"")),IF($B$62&lt;&gt;"",IF('Опросный лист 3 (заполняется)'!$M$45="230AC",'-'!$A$30,""),"")),IF('Опросный лист 3 (заполняется)'!$Q$42="230AC",IF($B$60&lt;&gt;"",IF('Опросный лист 3 (заполняется)'!$M$36="230AC",IF(OR($B$62="",AND($B$62&lt;&gt;"",OR('Опросный лист 3 (заполняется)'!$M$45="230AC",'Опросный лист 3 (заполняется)'!$M$45="-"))),'-'!$A$30,""),IF(AND('Опросный лист 3 (заполняется)'!$M$36="-",'Опросный лист 3 (заполняется)'!$M$45="230AC"),'-'!$A$30,IF(AND('Опросный лист 3 (заполняется)'!$M$36="-",'Опросный лист 3 (заполняется)'!$M$45="-"),'-'!$A$30,""))),IF($B$62&lt;&gt;"",IF('Опросный лист 3 (заполняется)'!$M$45="230AC",'-'!$A$30,""),"")),"")),IF($B$60&lt;&gt;"",IF('Опросный лист 3 (заполняется)'!$M$36="230AC",IF(OR($B$62="",AND($B$62&lt;&gt;"",OR('Опросный лист 3 (заполняется)'!$M$45="230AC",'Опросный лист 3 (заполняется)'!$M$45="-"))),'-'!$A$30,""),IF(AND('Опросный лист 3 (заполняется)'!$M$36="-",'Опросный лист 3 (заполняется)'!$M$45="230AC"),'-'!$A$30,"")),IF($B$62&lt;&gt;"",IF('Опросный лист 3 (заполняется)'!$M$45="230AC",'-'!$A$30,""),""))),"")</f>
        <v/>
      </c>
      <c r="C73" s="96" t="str">
        <f>_xlfn.IFNA(VLOOKUP($B$73,'-'!$A:$B,2,0),"")</f>
        <v/>
      </c>
      <c r="D73" s="95" t="str">
        <f>IF($B$73&lt;&gt;"",IF(AND('Опросный лист 3 (заполняется)'!$M$36="230AC",'Опросный лист 3 (заполняется)'!$M$45="230AC",'Опросный лист 3 (заполняется)'!$Q$42="230AC"),'Опросный лист 3 (заполняется)'!$P$23*3,IF(OR(AND('Опросный лист 3 (заполняется)'!$M$36="230AC",'Опросный лист 3 (заполняется)'!$M$45="230AC"),AND('Опросный лист 3 (заполняется)'!$M$36="230AC",'Опросный лист 3 (заполняется)'!$Q$42="230AC"),AND('Опросный лист 3 (заполняется)'!$M$45="230AC",'Опросный лист 3 (заполняется)'!$Q$42="230AC")),'Опросный лист 3 (заполняется)'!$P$23*2,'Опросный лист 3 (заполняется)'!$P$23)),"")</f>
        <v/>
      </c>
      <c r="E73" s="96" t="str">
        <f>IF($B$73&lt;&gt;""," ","")</f>
        <v/>
      </c>
    </row>
    <row r="74" spans="1:5" x14ac:dyDescent="0.2">
      <c r="A74" s="95" t="str">
        <f t="shared" ref="A74:A79" si="5">IF(B74&lt;&gt;"",IF(A73&lt;&gt;"",A73+1,IF(A72&lt;&gt;"",A72+1,IF(A71&lt;&gt;"",A71+1,IF(A70&lt;&gt;"",A70+1,IF(A69&lt;&gt;"",A69+1,IF(A68&lt;&gt;"",A68+1,IF(A67&lt;&gt;"",A67+1,IF(A66&lt;&gt;"",A66+1,IF(A65&lt;&gt;"",A65+1,IF(A64&lt;&gt;"",A64+1,IF(A63&lt;&gt;"",A63+1,IF(A62&lt;&gt;"",A62+1,IF(A61&lt;&gt;"",A61+1,IF(A60&lt;&gt;"",A60+1,IF(A59&lt;&gt;"",A59+1,A58+1))))))))))))))),"")</f>
        <v/>
      </c>
      <c r="B74" s="95" t="str">
        <f>IF($B$58&lt;&gt;"",IF('Опросный лист 3 (заполняется)'!$Q$40=2,'-'!$A$36,IF('Опросный лист 3 (заполняется)'!$Q$40=4,'-'!$A$37,"")),"")</f>
        <v/>
      </c>
      <c r="C74" s="96" t="str">
        <f>_xlfn.IFNA(VLOOKUP($B$74,'-'!$A:$B,2,0),"")</f>
        <v/>
      </c>
      <c r="D74" s="95" t="str">
        <f>IF($B$74&lt;&gt;"",'Опросный лист 3 (заполняется)'!$P$23,"")</f>
        <v/>
      </c>
      <c r="E74" s="96" t="str">
        <f>IF($B$74&lt;&gt;""," ","")</f>
        <v/>
      </c>
    </row>
    <row r="75" spans="1:5" x14ac:dyDescent="0.2">
      <c r="A75" s="95" t="str">
        <f t="shared" si="5"/>
        <v/>
      </c>
      <c r="B75" s="95" t="str">
        <f>IF($B$58&lt;&gt;"",IF($B$60&lt;&gt;"",IF('Опросный лист 3 (заполняется)'!$M$35=2,'-'!$A$34,IF($B$62&lt;&gt;"",IF('Опросный лист 3 (заполняется)'!$M$44=2,'-'!$A$34,""),"")),""),"")</f>
        <v/>
      </c>
      <c r="C75" s="96" t="str">
        <f>_xlfn.IFNA(VLOOKUP($B$75,'-'!$A:$B,2,0),"")</f>
        <v/>
      </c>
      <c r="D75" s="95" t="str">
        <f>IF($B$75&lt;&gt;"",IF(AND('Опросный лист 3 (заполняется)'!$M$35=2,'Опросный лист 3 (заполняется)'!$M$44=2),'Опросный лист 3 (заполняется)'!$P$23*2,'Опросный лист 3 (заполняется)'!$P$23),"")</f>
        <v/>
      </c>
      <c r="E75" s="96" t="str">
        <f>IF($B$75&lt;&gt;""," ","")</f>
        <v/>
      </c>
    </row>
    <row r="76" spans="1:5" x14ac:dyDescent="0.2">
      <c r="A76" s="95" t="str">
        <f t="shared" si="5"/>
        <v/>
      </c>
      <c r="B76" s="95" t="str">
        <f>IF($B$58&lt;&gt;"",IF($B$60&lt;&gt;"",IF('Опросный лист 3 (заполняется)'!$M$35=4,'-'!$A$35,IF($B$62&lt;&gt;"",IF('Опросный лист 3 (заполняется)'!$M$44=4,'-'!$A$35,""),"")),""),"")</f>
        <v/>
      </c>
      <c r="C76" s="96" t="str">
        <f>_xlfn.IFNA(VLOOKUP($B$76,'-'!$A:$B,2,0),"")</f>
        <v/>
      </c>
      <c r="D76" s="95" t="str">
        <f>IF($B$76&lt;&gt;"",IF(AND('Опросный лист 3 (заполняется)'!$M$35=4,'Опросный лист 3 (заполняется)'!$M$44=4),'Опросный лист 3 (заполняется)'!$P$23*2,'Опросный лист 3 (заполняется)'!$P$23),"")</f>
        <v/>
      </c>
      <c r="E76" s="96" t="str">
        <f>IF($B$76&lt;&gt;""," ","")</f>
        <v/>
      </c>
    </row>
    <row r="77" spans="1:5" x14ac:dyDescent="0.2">
      <c r="A77" s="95" t="str">
        <f t="shared" si="5"/>
        <v/>
      </c>
      <c r="B77" s="95" t="str">
        <f>IF($B$58&lt;&gt;"",IF(AND($B$59='-'!$A$10,'Опросный лист 3 (заполняется)'!$G$46="+"),'-'!$A$38,""),"")</f>
        <v/>
      </c>
      <c r="C77" s="96" t="str">
        <f>_xlfn.IFNA(VLOOKUP($B$77,'-'!$A:$B,2,0),"")</f>
        <v/>
      </c>
      <c r="D77" s="95" t="str">
        <f>IF($B$77&lt;&gt;"",'Опросный лист 3 (заполняется)'!$P$23,"")</f>
        <v/>
      </c>
      <c r="E77" s="96" t="str">
        <f>IF($B$77&lt;&gt;""," ","")</f>
        <v/>
      </c>
    </row>
    <row r="78" spans="1:5" x14ac:dyDescent="0.2">
      <c r="A78" s="95" t="str">
        <f t="shared" si="5"/>
        <v/>
      </c>
      <c r="B78" s="95" t="str">
        <f>IF($B$58&lt;&gt;"",IF($B$58='-'!$A$7,IF('Опросный лист 3 (заполняется)'!$G$52="24DC",'-'!$A$41,IF('Опросный лист 3 (заполняется)'!$G$52="220DC",'-'!$A$40,IF('Опросный лист 3 (заполняется)'!$G$52="230AC",'-'!$A$39,""))),""),"")</f>
        <v/>
      </c>
      <c r="C78" s="96" t="str">
        <f>_xlfn.IFNA(VLOOKUP($B$78,'-'!$A:$B,2,0),"")</f>
        <v/>
      </c>
      <c r="D78" s="95" t="str">
        <f>IF($B$78&lt;&gt;"",'Опросный лист 3 (заполняется)'!$P$23,"")</f>
        <v/>
      </c>
      <c r="E78" s="96" t="str">
        <f>IF($B$78&lt;&gt;""," ","")</f>
        <v/>
      </c>
    </row>
    <row r="79" spans="1:5" x14ac:dyDescent="0.2">
      <c r="A79" s="95" t="str">
        <f t="shared" si="5"/>
        <v/>
      </c>
      <c r="B79" s="95" t="str">
        <f>IF($B$58&lt;&gt;"",IF($B$59&lt;&gt;"",IF('Опросный лист 3 (заполняется)'!$G$38=6.3,'-'!$A$46,IF('Опросный лист 3 (заполняется)'!$G$38=10,'-'!$A$47,IF('Опросный лист 3 (заполняется)'!$G$38=16,'-'!$A$48,IF('Опросный лист 3 (заполняется)'!$G$38=20,'-'!$A$49,IF('Опросный лист 3 (заполняется)'!$G$38=25,'-'!$A$50,IF('Опросный лист 3 (заполняется)'!$G$38=31.5,'-'!$A$51,IF('Опросный лист 3 (заполняется)'!$G$38=40,'-'!$A$52,IF('Опросный лист 3 (заполняется)'!$G$38=50,'-'!$A$53,IF('Опросный лист 3 (заполняется)'!$G$38=63,'-'!$A$54,IF('Опросный лист 3 (заполняется)'!$G$38=80,'-'!$A$55,IF('Опросный лист 3 (заполняется)'!$G$38=100,'-'!$A$56,IF('Опросный лист 3 (заполняется)'!$G$38=125,'-'!$A$57,"")))))))))))),""),"")</f>
        <v/>
      </c>
      <c r="C79" s="96" t="str">
        <f>_xlfn.IFNA(VLOOKUP($B$79,'-'!$A:$B,2,0),"")</f>
        <v/>
      </c>
      <c r="D79" s="95" t="str">
        <f>IF($B$79&lt;&gt;"",'Опросный лист 3 (заполняется)'!$P$23*3,"")</f>
        <v/>
      </c>
      <c r="E79" s="96" t="str">
        <f>IF($B$79&lt;&gt;""," ","")</f>
        <v/>
      </c>
    </row>
    <row r="80" spans="1:5" x14ac:dyDescent="0.2">
      <c r="A80" s="95" t="str">
        <f>IF(B80&lt;&gt;"",IF(A79&lt;&gt;"",A79+1,IF(A78&lt;&gt;"",A78+1,IF(A77&lt;&gt;"",A77+1,IF(A76&lt;&gt;"",A76+1,IF(A75&lt;&gt;"",A75+1,IF(A74&lt;&gt;"",A74+1,IF(A73&lt;&gt;"",A73+1,IF(A72&lt;&gt;"",A72+1,IF(A71&lt;&gt;"",A71+1,IF(A70&lt;&gt;"",A70+1,IF(A69&lt;&gt;"",A69+1,IF(A68&lt;&gt;"",A68+1,IF(A67&lt;&gt;"",A67+1,IF(A66&lt;&gt;"",A66+1,IF(A65&lt;&gt;"",A65+1,A64+1))))))))))))))),"")</f>
        <v/>
      </c>
      <c r="B80" s="95" t="str">
        <f>IF($B$58&lt;&gt;"",'-'!$A$33,"")</f>
        <v/>
      </c>
      <c r="C80" s="96" t="str">
        <f>_xlfn.IFNA(VLOOKUP($B$80,'-'!$A:$B,2,0),"")</f>
        <v/>
      </c>
      <c r="D80" s="95" t="str">
        <f>IF($B$80&lt;&gt;"",1+'Опросный лист 3 (заполняется)'!$Q$52,"")</f>
        <v/>
      </c>
      <c r="E80" s="96" t="str">
        <f>IF($B$80&lt;&gt;""," ","")</f>
        <v/>
      </c>
    </row>
  </sheetData>
  <sheetProtection algorithmName="SHA-512" hashValue="xxCArLfUPTt7fUmVep4TKlwm1BBlOw0s9tQBSIE9dj3Z2DlEFVpv/9yCFNTmGqtJmb3Bzi/lci7zJJIzb+8iuw==" saltValue="Lv/OWf1lFOi40SVlOf4nWQ==" spinCount="100000" sheet="1" formatCells="0" formatColumns="0" formatRows="0" insertColumns="0" insertRows="0" insertHyperlinks="0" deleteColumns="0" deleteRows="0" sort="0" autoFilter="0" pivotTables="0"/>
  <mergeCells count="18">
    <mergeCell ref="A55:E55"/>
    <mergeCell ref="A1:E1"/>
    <mergeCell ref="A2:A3"/>
    <mergeCell ref="B2:B3"/>
    <mergeCell ref="C2:C3"/>
    <mergeCell ref="D2:D3"/>
    <mergeCell ref="E2:E3"/>
    <mergeCell ref="A28:E28"/>
    <mergeCell ref="A29:A30"/>
    <mergeCell ref="B29:B30"/>
    <mergeCell ref="C29:C30"/>
    <mergeCell ref="D29:D30"/>
    <mergeCell ref="E29:E30"/>
    <mergeCell ref="A56:A57"/>
    <mergeCell ref="B56:B57"/>
    <mergeCell ref="C56:C57"/>
    <mergeCell ref="D56:D57"/>
    <mergeCell ref="E56:E57"/>
  </mergeCells>
  <conditionalFormatting sqref="A58:E80">
    <cfRule type="cellIs" dxfId="31" priority="6" operator="notEqual">
      <formula>""</formula>
    </cfRule>
  </conditionalFormatting>
  <conditionalFormatting sqref="A31:E53">
    <cfRule type="cellIs" dxfId="30" priority="4" operator="notEqual">
      <formula>""</formula>
    </cfRule>
  </conditionalFormatting>
  <conditionalFormatting sqref="A4:E26">
    <cfRule type="cellIs" dxfId="29" priority="2" operator="notEqual">
      <formula>""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90B5C-8B60-48CD-A91C-5E6762F97562}">
            <xm:f>OR('Опросный лист 3 (заполняется)'!$H$38="ОШИБКА",'Опросный лист 3 (заполняется)'!$H$43="ОШИБКА",'Опросный лист 3 (заполняется)'!$H$44="ОШИБКА",'Опросный лист 3 (заполняется)'!$H$46="ОШИБКА",'Опросный лист 3 (заполняется)'!$H$52="ОШИБКА",'Опросный лист 3 (заполняется)'!$N$35="ОШИБКА",'Опросный лист 3 (заполняется)'!$N$38="ОШИБКА",'Опросный лист 3 (заполняется)'!$N$44="ОШИБКА",'Опросный лист 3 (заполняется)'!$N$47="ОШИБКА",'Опросный лист 3 (заполняется)'!$R$37="ОШИБКА",'Опросный лист 3 (заполняется)'!$R$40="ОШИБКА",'Опросный лист 3 (заполняется)'!$N$36="ОШИБКА должно быть одинаковым",'Опросный лист 3 (заполняется)'!$N$45="ОШИБКА должно быть одинаковым",'Опросный лист 3 (заполняется)'!$R$42="ОШИБКА должно быть одинаковым",'Опросный лист 3 (заполняется)'!$N$36="ОШИБКА",'Опросный лист 3 (заполняется)'!$N$45="ОШИБКА",'Опросный лист 3 (заполняется)'!$R$42="ОШИБКА")</xm:f>
            <x14:dxf>
              <fill>
                <patternFill>
                  <bgColor rgb="FFFF0000"/>
                </patternFill>
              </fill>
            </x14:dxf>
          </x14:cfRule>
          <xm:sqref>A55:E80</xm:sqref>
        </x14:conditionalFormatting>
        <x14:conditionalFormatting xmlns:xm="http://schemas.microsoft.com/office/excel/2006/main">
          <x14:cfRule type="expression" priority="3" id="{9D55107D-E36B-46B8-B93C-A9B11784E91A}">
            <xm:f>OR('Опросный лист 2 (заполняется)'!$H$38="ОШИБКА",'Опросный лист 2 (заполняется)'!$H$43="ОШИБКА",'Опросный лист 2 (заполняется)'!$H$44="ОШИБКА",'Опросный лист 2 (заполняется)'!$H$46="ОШИБКА",'Опросный лист 2 (заполняется)'!$H$52="ОШИБКА",'Опросный лист 2 (заполняется)'!$N$35="ОШИБКА",'Опросный лист 2 (заполняется)'!$N$38="ОШИБКА",'Опросный лист 2 (заполняется)'!$N$44="ОШИБКА",'Опросный лист 2 (заполняется)'!$N$47="ОШИБКА",'Опросный лист 2 (заполняется)'!$R$37="ОШИБКА",'Опросный лист 2 (заполняется)'!$R$40="ОШИБКА",'Опросный лист 2 (заполняется)'!$N$36="ОШИБКА должно быть одинаковым",'Опросный лист 2 (заполняется)'!$N$45="ОШИБКА должно быть одинаковым",'Опросный лист 2 (заполняется)'!$R$42="ОШИБКА должно быть одинаковым",'Опросный лист 2 (заполняется)'!$N$36="ОШИБКА",'Опросный лист 2 (заполняется)'!$N$45="ОШИБКА",'Опросный лист 2 (заполняется)'!$R$42="ОШИБКА")</xm:f>
            <x14:dxf>
              <fill>
                <patternFill>
                  <bgColor rgb="FFFF0000"/>
                </patternFill>
              </fill>
            </x14:dxf>
          </x14:cfRule>
          <xm:sqref>A28:E53</xm:sqref>
        </x14:conditionalFormatting>
        <x14:conditionalFormatting xmlns:xm="http://schemas.microsoft.com/office/excel/2006/main">
          <x14:cfRule type="expression" priority="1" id="{F8DF804D-4ECA-49AD-BA24-D2D5EF776F34}">
            <xm:f>OR('Опросный лист 1 (заполняется)'!$H$38="ОШИБКА",'Опросный лист 1 (заполняется)'!$H$43="ОШИБКА",'Опросный лист 1 (заполняется)'!$H$44="ОШИБКА",'Опросный лист 1 (заполняется)'!$H$46="ОШИБКА",'Опросный лист 1 (заполняется)'!$H$52="ОШИБКА",'Опросный лист 1 (заполняется)'!$N$35="ОШИБКА",'Опросный лист 1 (заполняется)'!$N$38="ОШИБКА",'Опросный лист 1 (заполняется)'!$N$44="ОШИБКА",'Опросный лист 1 (заполняется)'!$N$47="ОШИБКА",'Опросный лист 1 (заполняется)'!$R$37="ОШИБКА",'Опросный лист 1 (заполняется)'!$R$40="ОШИБКА",'Опросный лист 1 (заполняется)'!$N$36="ОШИБКА должно быть одинаковым",'Опросный лист 1 (заполняется)'!$N$45="ОШИБКА должно быть одинаковым",'Опросный лист 1 (заполняется)'!$R$42="ОШИБКА должно быть одинаковым",'Опросный лист 1 (заполняется)'!$N$36="ОШИБКА",'Опросный лист 1 (заполняется)'!$N$45="ОШИБКА",'Опросный лист 1 (заполняется)'!$R$42="ОШИБКА")</xm:f>
            <x14:dxf>
              <fill>
                <patternFill>
                  <bgColor rgb="FFFF0000"/>
                </patternFill>
              </fill>
            </x14:dxf>
          </x14:cfRule>
          <xm:sqref>A1:E26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73"/>
  <sheetViews>
    <sheetView zoomScaleNormal="100" workbookViewId="0">
      <selection activeCell="P29" sqref="P29"/>
    </sheetView>
  </sheetViews>
  <sheetFormatPr defaultRowHeight="11.25" x14ac:dyDescent="0.2"/>
  <cols>
    <col min="1" max="1" width="24.6640625" style="3" bestFit="1" customWidth="1"/>
    <col min="2" max="2" width="150.5" style="3" bestFit="1" customWidth="1"/>
    <col min="3" max="3" width="33.5" style="3" bestFit="1" customWidth="1"/>
    <col min="4" max="4" width="5.33203125" style="3" bestFit="1" customWidth="1"/>
    <col min="5" max="5" width="6.6640625" style="3" bestFit="1" customWidth="1"/>
    <col min="6" max="6" width="3.1640625" style="3" bestFit="1" customWidth="1"/>
    <col min="7" max="7" width="1.83203125" style="3" bestFit="1" customWidth="1"/>
    <col min="8" max="8" width="2.1640625" style="3" bestFit="1" customWidth="1"/>
    <col min="9" max="9" width="2.5" style="3" bestFit="1" customWidth="1"/>
    <col min="10" max="10" width="4.1640625" style="3" bestFit="1" customWidth="1"/>
    <col min="11" max="11" width="2.33203125" style="3" bestFit="1" customWidth="1"/>
    <col min="12" max="12" width="2.1640625" style="3" bestFit="1" customWidth="1"/>
    <col min="13" max="13" width="1.83203125" style="3" bestFit="1" customWidth="1"/>
    <col min="14" max="14" width="3.6640625" style="3" bestFit="1" customWidth="1"/>
    <col min="15" max="15" width="3.33203125" style="3" bestFit="1" customWidth="1"/>
    <col min="16" max="16384" width="9.33203125" style="3"/>
  </cols>
  <sheetData>
    <row r="1" spans="1:15" x14ac:dyDescent="0.2">
      <c r="A1" s="215" t="s">
        <v>88</v>
      </c>
      <c r="B1" s="218" t="s">
        <v>89</v>
      </c>
      <c r="C1" s="53" t="s">
        <v>39</v>
      </c>
      <c r="D1" s="54" t="s">
        <v>40</v>
      </c>
      <c r="E1" s="55"/>
      <c r="F1" s="54">
        <v>12</v>
      </c>
      <c r="G1" s="56" t="s">
        <v>36</v>
      </c>
      <c r="H1" s="55"/>
      <c r="I1" s="55"/>
      <c r="J1" s="54">
        <v>170</v>
      </c>
      <c r="K1" s="55"/>
      <c r="L1" s="55"/>
      <c r="M1" s="56" t="s">
        <v>36</v>
      </c>
      <c r="N1" s="55"/>
      <c r="O1" s="57"/>
    </row>
    <row r="2" spans="1:15" x14ac:dyDescent="0.2">
      <c r="A2" s="216"/>
      <c r="B2" s="219"/>
      <c r="C2" s="47"/>
      <c r="D2" s="48"/>
      <c r="E2" s="58" t="s">
        <v>46</v>
      </c>
      <c r="F2" s="48"/>
      <c r="G2" s="48"/>
      <c r="H2" s="58">
        <v>6</v>
      </c>
      <c r="I2" s="58" t="s">
        <v>47</v>
      </c>
      <c r="J2" s="48"/>
      <c r="K2" s="58" t="s">
        <v>43</v>
      </c>
      <c r="L2" s="58" t="s">
        <v>46</v>
      </c>
      <c r="M2" s="48"/>
      <c r="N2" s="58" t="s">
        <v>45</v>
      </c>
      <c r="O2" s="59" t="s">
        <v>46</v>
      </c>
    </row>
    <row r="3" spans="1:15" x14ac:dyDescent="0.2">
      <c r="A3" s="216"/>
      <c r="B3" s="219"/>
      <c r="C3" s="47"/>
      <c r="D3" s="48"/>
      <c r="E3" s="58" t="s">
        <v>41</v>
      </c>
      <c r="F3" s="48"/>
      <c r="G3" s="48"/>
      <c r="H3" s="58">
        <v>4</v>
      </c>
      <c r="I3" s="58" t="s">
        <v>42</v>
      </c>
      <c r="J3" s="48"/>
      <c r="K3" s="58" t="s">
        <v>48</v>
      </c>
      <c r="L3" s="58" t="s">
        <v>44</v>
      </c>
      <c r="M3" s="48"/>
      <c r="N3" s="58" t="s">
        <v>49</v>
      </c>
      <c r="O3" s="59" t="s">
        <v>59</v>
      </c>
    </row>
    <row r="4" spans="1:15" x14ac:dyDescent="0.2">
      <c r="A4" s="217"/>
      <c r="B4" s="220"/>
      <c r="C4" s="49"/>
      <c r="D4" s="44"/>
      <c r="E4" s="44" t="str">
        <f>IF(B4&lt;&gt;"",IF(B4='-'!A6,"только под заказ, рекомендуется замена на "," "),"")</f>
        <v/>
      </c>
      <c r="F4" s="44"/>
      <c r="G4" s="44"/>
      <c r="H4" s="44"/>
      <c r="I4" s="44"/>
      <c r="J4" s="44"/>
      <c r="K4" s="44"/>
      <c r="L4" s="44"/>
      <c r="M4" s="44"/>
      <c r="N4" s="44"/>
      <c r="O4" s="50"/>
    </row>
    <row r="5" spans="1:15" x14ac:dyDescent="0.2">
      <c r="A5" s="221" t="s">
        <v>90</v>
      </c>
      <c r="B5" s="222"/>
      <c r="C5" s="211" t="s">
        <v>76</v>
      </c>
      <c r="D5" s="212"/>
      <c r="E5" s="60"/>
      <c r="F5" s="44"/>
      <c r="G5" s="44"/>
      <c r="H5" s="44"/>
      <c r="I5" s="44"/>
      <c r="J5" s="44"/>
      <c r="K5" s="44"/>
      <c r="L5" s="44"/>
      <c r="M5" s="44"/>
      <c r="N5" s="44"/>
      <c r="O5" s="50"/>
    </row>
    <row r="6" spans="1:15" x14ac:dyDescent="0.2">
      <c r="A6" s="45" t="s">
        <v>91</v>
      </c>
      <c r="B6" s="66" t="s">
        <v>92</v>
      </c>
      <c r="C6" s="207"/>
      <c r="D6" s="208"/>
      <c r="E6" s="60">
        <v>750</v>
      </c>
      <c r="F6" s="44"/>
      <c r="G6" s="44"/>
      <c r="H6" s="44"/>
      <c r="I6" s="44"/>
      <c r="J6" s="44"/>
      <c r="K6" s="44"/>
      <c r="L6" s="44"/>
      <c r="M6" s="44"/>
      <c r="N6" s="44"/>
      <c r="O6" s="50"/>
    </row>
    <row r="7" spans="1:15" x14ac:dyDescent="0.2">
      <c r="A7" s="1" t="s">
        <v>4</v>
      </c>
      <c r="B7" s="67" t="s">
        <v>5</v>
      </c>
      <c r="C7" s="207"/>
      <c r="D7" s="208"/>
      <c r="E7" s="60">
        <v>800</v>
      </c>
      <c r="F7" s="44"/>
      <c r="G7" s="44"/>
      <c r="H7" s="44"/>
      <c r="I7" s="44"/>
      <c r="J7" s="44"/>
      <c r="K7" s="44"/>
      <c r="L7" s="44"/>
      <c r="M7" s="44"/>
      <c r="N7" s="44"/>
      <c r="O7" s="50"/>
    </row>
    <row r="8" spans="1:15" ht="11.25" customHeight="1" x14ac:dyDescent="0.2">
      <c r="A8" s="45" t="s">
        <v>93</v>
      </c>
      <c r="B8" s="66" t="s">
        <v>94</v>
      </c>
      <c r="C8" s="213"/>
      <c r="D8" s="214"/>
      <c r="E8" s="60">
        <v>1000</v>
      </c>
      <c r="F8" s="44"/>
      <c r="G8" s="44"/>
      <c r="H8" s="44"/>
      <c r="I8" s="44"/>
      <c r="J8" s="44"/>
      <c r="K8" s="44"/>
      <c r="L8" s="44"/>
      <c r="M8" s="44"/>
      <c r="N8" s="44"/>
      <c r="O8" s="50"/>
    </row>
    <row r="9" spans="1:15" x14ac:dyDescent="0.2">
      <c r="A9" s="1" t="s">
        <v>2</v>
      </c>
      <c r="B9" s="67" t="s">
        <v>3</v>
      </c>
      <c r="C9" s="203" t="s">
        <v>77</v>
      </c>
      <c r="D9" s="204"/>
      <c r="E9" s="60"/>
      <c r="F9" s="44"/>
      <c r="G9" s="44"/>
      <c r="H9" s="44"/>
      <c r="I9" s="44"/>
      <c r="J9" s="44"/>
      <c r="K9" s="44"/>
      <c r="L9" s="44"/>
      <c r="M9" s="44"/>
      <c r="N9" s="44"/>
      <c r="O9" s="50"/>
    </row>
    <row r="10" spans="1:15" x14ac:dyDescent="0.2">
      <c r="A10" s="1" t="s">
        <v>32</v>
      </c>
      <c r="B10" s="68" t="s">
        <v>33</v>
      </c>
      <c r="C10" s="203"/>
      <c r="D10" s="204"/>
      <c r="E10" s="60"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50"/>
    </row>
    <row r="11" spans="1:15" x14ac:dyDescent="0.2">
      <c r="A11" s="1" t="s">
        <v>95</v>
      </c>
      <c r="B11" s="68" t="s">
        <v>96</v>
      </c>
      <c r="C11" s="203"/>
      <c r="D11" s="204"/>
      <c r="E11" s="60">
        <v>2</v>
      </c>
      <c r="F11" s="44"/>
      <c r="G11" s="44"/>
      <c r="H11" s="44"/>
      <c r="I11" s="44"/>
      <c r="J11" s="44"/>
      <c r="K11" s="44"/>
      <c r="L11" s="44"/>
      <c r="M11" s="44"/>
      <c r="N11" s="44"/>
      <c r="O11" s="50"/>
    </row>
    <row r="12" spans="1:15" x14ac:dyDescent="0.2">
      <c r="A12" s="45" t="s">
        <v>97</v>
      </c>
      <c r="B12" s="66" t="s">
        <v>98</v>
      </c>
      <c r="C12" s="203"/>
      <c r="D12" s="204"/>
      <c r="E12" s="60">
        <v>4</v>
      </c>
      <c r="F12" s="44"/>
      <c r="G12" s="44"/>
      <c r="H12" s="44"/>
      <c r="I12" s="44"/>
      <c r="J12" s="44"/>
      <c r="K12" s="44"/>
      <c r="L12" s="44"/>
      <c r="M12" s="44"/>
      <c r="N12" s="44"/>
      <c r="O12" s="50"/>
    </row>
    <row r="13" spans="1:15" x14ac:dyDescent="0.2">
      <c r="A13" s="62" t="s">
        <v>159</v>
      </c>
      <c r="B13" s="69" t="s">
        <v>158</v>
      </c>
      <c r="C13" s="201" t="s">
        <v>54</v>
      </c>
      <c r="D13" s="202"/>
      <c r="E13" s="202"/>
      <c r="F13" s="44"/>
      <c r="G13" s="44"/>
      <c r="H13" s="44"/>
      <c r="I13" s="44"/>
      <c r="J13" s="44"/>
      <c r="K13" s="44"/>
      <c r="L13" s="44"/>
      <c r="M13" s="44"/>
      <c r="N13" s="44"/>
      <c r="O13" s="50"/>
    </row>
    <row r="14" spans="1:15" x14ac:dyDescent="0.2">
      <c r="A14" s="1" t="s">
        <v>6</v>
      </c>
      <c r="B14" s="68" t="s">
        <v>7</v>
      </c>
      <c r="C14" s="201" t="s">
        <v>55</v>
      </c>
      <c r="D14" s="202" t="s">
        <v>53</v>
      </c>
      <c r="E14" s="60"/>
      <c r="F14" s="44"/>
      <c r="G14" s="44"/>
      <c r="H14" s="44"/>
      <c r="I14" s="44"/>
      <c r="J14" s="44"/>
      <c r="K14" s="44"/>
      <c r="L14" s="44"/>
      <c r="M14" s="44"/>
      <c r="N14" s="44"/>
      <c r="O14" s="50"/>
    </row>
    <row r="15" spans="1:15" x14ac:dyDescent="0.2">
      <c r="A15" s="1" t="s">
        <v>21</v>
      </c>
      <c r="B15" s="68" t="s">
        <v>22</v>
      </c>
      <c r="C15" s="201"/>
      <c r="D15" s="202"/>
      <c r="E15" s="60" t="s">
        <v>36</v>
      </c>
      <c r="F15" s="44"/>
      <c r="G15" s="44"/>
      <c r="H15" s="44"/>
      <c r="I15" s="44"/>
      <c r="J15" s="44"/>
      <c r="K15" s="44"/>
      <c r="L15" s="44"/>
      <c r="M15" s="44"/>
      <c r="N15" s="44"/>
      <c r="O15" s="50"/>
    </row>
    <row r="16" spans="1:15" x14ac:dyDescent="0.2">
      <c r="A16" s="1" t="s">
        <v>34</v>
      </c>
      <c r="B16" s="67" t="s">
        <v>35</v>
      </c>
      <c r="C16" s="201"/>
      <c r="D16" s="202"/>
      <c r="E16" s="60" t="s">
        <v>58</v>
      </c>
      <c r="F16" s="44"/>
      <c r="G16" s="44"/>
      <c r="H16" s="44"/>
      <c r="I16" s="44"/>
      <c r="J16" s="44"/>
      <c r="K16" s="44"/>
      <c r="L16" s="44"/>
      <c r="M16" s="44"/>
      <c r="N16" s="44"/>
      <c r="O16" s="50"/>
    </row>
    <row r="17" spans="1:15" x14ac:dyDescent="0.2">
      <c r="A17" s="221" t="s">
        <v>99</v>
      </c>
      <c r="B17" s="222"/>
      <c r="C17" s="201" t="s">
        <v>56</v>
      </c>
      <c r="D17" s="202"/>
      <c r="E17" s="60"/>
      <c r="F17" s="44"/>
      <c r="G17" s="44"/>
      <c r="H17" s="44"/>
      <c r="I17" s="44"/>
      <c r="J17" s="44"/>
      <c r="K17" s="44"/>
      <c r="L17" s="44"/>
      <c r="M17" s="44"/>
      <c r="N17" s="44"/>
      <c r="O17" s="50"/>
    </row>
    <row r="18" spans="1:15" x14ac:dyDescent="0.2">
      <c r="A18" s="1" t="s">
        <v>11</v>
      </c>
      <c r="B18" s="67" t="s">
        <v>12</v>
      </c>
      <c r="C18" s="201"/>
      <c r="D18" s="202"/>
      <c r="E18" s="60" t="s">
        <v>36</v>
      </c>
      <c r="F18" s="44"/>
      <c r="G18" s="44"/>
      <c r="H18" s="44"/>
      <c r="I18" s="44"/>
      <c r="J18" s="44"/>
      <c r="K18" s="44"/>
      <c r="L18" s="44"/>
      <c r="M18" s="44"/>
      <c r="N18" s="44"/>
      <c r="O18" s="50"/>
    </row>
    <row r="19" spans="1:15" x14ac:dyDescent="0.2">
      <c r="A19" s="1" t="s">
        <v>19</v>
      </c>
      <c r="B19" s="68" t="s">
        <v>20</v>
      </c>
      <c r="C19" s="201"/>
      <c r="D19" s="202"/>
      <c r="E19" s="60" t="s">
        <v>58</v>
      </c>
      <c r="F19" s="44"/>
      <c r="G19" s="44"/>
      <c r="H19" s="44"/>
      <c r="I19" s="44"/>
      <c r="J19" s="44"/>
      <c r="K19" s="44"/>
      <c r="L19" s="44"/>
      <c r="M19" s="44"/>
      <c r="N19" s="44"/>
      <c r="O19" s="50"/>
    </row>
    <row r="20" spans="1:15" x14ac:dyDescent="0.2">
      <c r="A20" s="1" t="s">
        <v>100</v>
      </c>
      <c r="B20" s="68" t="s">
        <v>101</v>
      </c>
      <c r="C20" s="203" t="s">
        <v>60</v>
      </c>
      <c r="D20" s="204"/>
      <c r="E20" s="60"/>
      <c r="F20" s="44"/>
      <c r="G20" s="44"/>
      <c r="H20" s="44"/>
      <c r="I20" s="44"/>
      <c r="J20" s="44"/>
      <c r="K20" s="44"/>
      <c r="L20" s="44"/>
      <c r="M20" s="44"/>
      <c r="N20" s="44"/>
      <c r="O20" s="50"/>
    </row>
    <row r="21" spans="1:15" x14ac:dyDescent="0.2">
      <c r="A21" s="1" t="s">
        <v>102</v>
      </c>
      <c r="B21" s="68" t="s">
        <v>103</v>
      </c>
      <c r="C21" s="203"/>
      <c r="D21" s="204"/>
      <c r="E21" s="60" t="s">
        <v>36</v>
      </c>
      <c r="F21" s="44"/>
      <c r="G21" s="44"/>
      <c r="H21" s="44"/>
      <c r="I21" s="44"/>
      <c r="J21" s="44"/>
      <c r="K21" s="44"/>
      <c r="L21" s="44"/>
      <c r="M21" s="44"/>
      <c r="N21" s="44"/>
      <c r="O21" s="50"/>
    </row>
    <row r="22" spans="1:15" x14ac:dyDescent="0.2">
      <c r="A22" s="1" t="s">
        <v>104</v>
      </c>
      <c r="B22" s="68" t="s">
        <v>105</v>
      </c>
      <c r="C22" s="203"/>
      <c r="D22" s="204"/>
      <c r="E22" s="60" t="s">
        <v>58</v>
      </c>
      <c r="F22" s="44"/>
      <c r="G22" s="44"/>
      <c r="H22" s="44"/>
      <c r="I22" s="44"/>
      <c r="J22" s="44"/>
      <c r="K22" s="44"/>
      <c r="L22" s="44"/>
      <c r="M22" s="44"/>
      <c r="N22" s="44"/>
      <c r="O22" s="50"/>
    </row>
    <row r="23" spans="1:15" x14ac:dyDescent="0.2">
      <c r="A23" s="1" t="s">
        <v>30</v>
      </c>
      <c r="B23" s="68" t="s">
        <v>31</v>
      </c>
      <c r="C23" s="203" t="s">
        <v>61</v>
      </c>
      <c r="D23" s="204"/>
      <c r="E23" s="60"/>
      <c r="F23" s="44"/>
      <c r="G23" s="44"/>
      <c r="H23" s="44"/>
      <c r="I23" s="44"/>
      <c r="J23" s="44"/>
      <c r="K23" s="44"/>
      <c r="L23" s="44"/>
      <c r="M23" s="44"/>
      <c r="N23" s="44"/>
      <c r="O23" s="50"/>
    </row>
    <row r="24" spans="1:15" x14ac:dyDescent="0.2">
      <c r="A24" s="1" t="s">
        <v>13</v>
      </c>
      <c r="B24" s="68" t="s">
        <v>14</v>
      </c>
      <c r="C24" s="203"/>
      <c r="D24" s="204"/>
      <c r="E24" s="60" t="s">
        <v>36</v>
      </c>
      <c r="F24" s="44"/>
      <c r="G24" s="44"/>
      <c r="H24" s="44"/>
      <c r="I24" s="44"/>
      <c r="J24" s="44"/>
      <c r="K24" s="44"/>
      <c r="L24" s="44"/>
      <c r="M24" s="44"/>
      <c r="N24" s="44"/>
      <c r="O24" s="50"/>
    </row>
    <row r="25" spans="1:15" ht="11.25" customHeight="1" x14ac:dyDescent="0.2">
      <c r="A25" s="1" t="s">
        <v>23</v>
      </c>
      <c r="B25" s="68" t="s">
        <v>24</v>
      </c>
      <c r="C25" s="203"/>
      <c r="D25" s="204"/>
      <c r="E25" s="60" t="s">
        <v>58</v>
      </c>
      <c r="F25" s="44"/>
      <c r="G25" s="44"/>
      <c r="H25" s="44"/>
      <c r="I25" s="44"/>
      <c r="J25" s="44"/>
      <c r="K25" s="44"/>
      <c r="L25" s="44"/>
      <c r="M25" s="44"/>
      <c r="N25" s="44"/>
      <c r="O25" s="50"/>
    </row>
    <row r="26" spans="1:15" ht="11.25" customHeight="1" x14ac:dyDescent="0.2">
      <c r="A26" s="1" t="s">
        <v>10</v>
      </c>
      <c r="B26" s="68" t="s">
        <v>106</v>
      </c>
      <c r="C26" s="211" t="s">
        <v>162</v>
      </c>
      <c r="D26" s="212"/>
      <c r="E26" s="60"/>
      <c r="F26" s="44"/>
      <c r="G26" s="44"/>
      <c r="H26" s="44"/>
      <c r="I26" s="44"/>
      <c r="J26" s="44"/>
      <c r="K26" s="44"/>
      <c r="L26" s="44"/>
      <c r="M26" s="44"/>
      <c r="N26" s="44"/>
      <c r="O26" s="50"/>
    </row>
    <row r="27" spans="1:15" x14ac:dyDescent="0.2">
      <c r="A27" s="1" t="s">
        <v>26</v>
      </c>
      <c r="B27" s="68" t="s">
        <v>27</v>
      </c>
      <c r="C27" s="207"/>
      <c r="D27" s="208"/>
      <c r="E27" s="60" t="s">
        <v>36</v>
      </c>
      <c r="F27" s="44"/>
      <c r="G27" s="44"/>
      <c r="H27" s="44"/>
      <c r="I27" s="44"/>
      <c r="J27" s="44"/>
      <c r="K27" s="44"/>
      <c r="L27" s="44"/>
      <c r="M27" s="44"/>
      <c r="N27" s="44"/>
      <c r="O27" s="50"/>
    </row>
    <row r="28" spans="1:15" x14ac:dyDescent="0.2">
      <c r="A28" s="1" t="s">
        <v>8</v>
      </c>
      <c r="B28" s="68" t="s">
        <v>9</v>
      </c>
      <c r="C28" s="207"/>
      <c r="D28" s="208"/>
      <c r="E28" s="60">
        <v>6.3</v>
      </c>
      <c r="F28" s="44"/>
      <c r="G28" s="44"/>
      <c r="H28" s="44"/>
      <c r="I28" s="44"/>
      <c r="J28" s="44"/>
      <c r="K28" s="44"/>
      <c r="L28" s="44"/>
      <c r="M28" s="44"/>
      <c r="N28" s="44"/>
      <c r="O28" s="50"/>
    </row>
    <row r="29" spans="1:15" x14ac:dyDescent="0.2">
      <c r="A29" s="1" t="s">
        <v>37</v>
      </c>
      <c r="B29" s="68" t="s">
        <v>38</v>
      </c>
      <c r="C29" s="207"/>
      <c r="D29" s="208"/>
      <c r="E29" s="60">
        <v>10</v>
      </c>
      <c r="F29" s="44"/>
      <c r="G29" s="44"/>
      <c r="H29" s="44"/>
      <c r="I29" s="44"/>
      <c r="J29" s="44"/>
      <c r="K29" s="44"/>
      <c r="L29" s="44"/>
      <c r="M29" s="44"/>
      <c r="N29" s="44"/>
      <c r="O29" s="50"/>
    </row>
    <row r="30" spans="1:15" x14ac:dyDescent="0.2">
      <c r="A30" s="1" t="s">
        <v>28</v>
      </c>
      <c r="B30" s="67" t="s">
        <v>29</v>
      </c>
      <c r="C30" s="207"/>
      <c r="D30" s="208"/>
      <c r="E30" s="60">
        <v>16</v>
      </c>
      <c r="F30" s="44"/>
      <c r="G30" s="44"/>
      <c r="H30" s="44"/>
      <c r="I30" s="44"/>
      <c r="J30" s="44"/>
      <c r="K30" s="44"/>
      <c r="L30" s="44"/>
      <c r="M30" s="44"/>
      <c r="N30" s="44"/>
      <c r="O30" s="50"/>
    </row>
    <row r="31" spans="1:15" x14ac:dyDescent="0.2">
      <c r="A31" s="1" t="s">
        <v>107</v>
      </c>
      <c r="B31" s="67" t="s">
        <v>108</v>
      </c>
      <c r="C31" s="207"/>
      <c r="D31" s="208"/>
      <c r="E31" s="60">
        <v>20</v>
      </c>
      <c r="F31" s="44"/>
      <c r="G31" s="44"/>
      <c r="H31" s="44"/>
      <c r="I31" s="44"/>
      <c r="J31" s="44"/>
      <c r="K31" s="44"/>
      <c r="L31" s="44"/>
      <c r="M31" s="44"/>
      <c r="N31" s="44"/>
      <c r="O31" s="50"/>
    </row>
    <row r="32" spans="1:15" x14ac:dyDescent="0.2">
      <c r="A32" s="1" t="s">
        <v>109</v>
      </c>
      <c r="B32" s="67" t="s">
        <v>110</v>
      </c>
      <c r="C32" s="207"/>
      <c r="D32" s="208"/>
      <c r="E32" s="60">
        <v>25</v>
      </c>
      <c r="F32" s="44"/>
      <c r="G32" s="44"/>
      <c r="H32" s="44"/>
      <c r="I32" s="44"/>
      <c r="J32" s="44"/>
      <c r="K32" s="44"/>
      <c r="L32" s="44"/>
      <c r="M32" s="44"/>
      <c r="N32" s="44"/>
      <c r="O32" s="50"/>
    </row>
    <row r="33" spans="1:15" x14ac:dyDescent="0.2">
      <c r="A33" s="1" t="s">
        <v>111</v>
      </c>
      <c r="B33" s="68" t="s">
        <v>112</v>
      </c>
      <c r="C33" s="207"/>
      <c r="D33" s="208"/>
      <c r="E33" s="60">
        <v>31.5</v>
      </c>
      <c r="F33" s="44"/>
      <c r="G33" s="44"/>
      <c r="H33" s="44"/>
      <c r="I33" s="44"/>
      <c r="J33" s="44"/>
      <c r="K33" s="44"/>
      <c r="L33" s="44"/>
      <c r="M33" s="44"/>
      <c r="N33" s="44"/>
      <c r="O33" s="50"/>
    </row>
    <row r="34" spans="1:15" x14ac:dyDescent="0.2">
      <c r="A34" s="1" t="s">
        <v>17</v>
      </c>
      <c r="B34" s="68" t="s">
        <v>18</v>
      </c>
      <c r="C34" s="207"/>
      <c r="D34" s="208"/>
      <c r="E34" s="60">
        <v>40</v>
      </c>
      <c r="F34" s="44"/>
      <c r="G34" s="44"/>
      <c r="H34" s="44"/>
      <c r="I34" s="44"/>
      <c r="J34" s="44"/>
      <c r="K34" s="44"/>
      <c r="L34" s="44"/>
      <c r="M34" s="44"/>
      <c r="N34" s="44"/>
      <c r="O34" s="50"/>
    </row>
    <row r="35" spans="1:15" x14ac:dyDescent="0.2">
      <c r="A35" s="1" t="s">
        <v>113</v>
      </c>
      <c r="B35" s="67" t="s">
        <v>114</v>
      </c>
      <c r="C35" s="207"/>
      <c r="D35" s="208"/>
      <c r="E35" s="60">
        <v>50</v>
      </c>
      <c r="F35" s="44"/>
      <c r="G35" s="44"/>
      <c r="H35" s="44"/>
      <c r="I35" s="44"/>
      <c r="J35" s="44"/>
      <c r="K35" s="44"/>
      <c r="L35" s="44"/>
      <c r="M35" s="44"/>
      <c r="N35" s="44"/>
      <c r="O35" s="50"/>
    </row>
    <row r="36" spans="1:15" x14ac:dyDescent="0.2">
      <c r="A36" s="1" t="s">
        <v>15</v>
      </c>
      <c r="B36" s="68" t="s">
        <v>16</v>
      </c>
      <c r="C36" s="207"/>
      <c r="D36" s="208"/>
      <c r="E36" s="60">
        <v>63</v>
      </c>
      <c r="F36" s="44"/>
      <c r="G36" s="44"/>
      <c r="H36" s="44"/>
      <c r="I36" s="44"/>
      <c r="J36" s="44"/>
      <c r="K36" s="44"/>
      <c r="L36" s="44"/>
      <c r="M36" s="44"/>
      <c r="N36" s="44"/>
      <c r="O36" s="50"/>
    </row>
    <row r="37" spans="1:15" x14ac:dyDescent="0.2">
      <c r="A37" s="1" t="s">
        <v>115</v>
      </c>
      <c r="B37" s="68" t="s">
        <v>116</v>
      </c>
      <c r="C37" s="207"/>
      <c r="D37" s="208"/>
      <c r="E37" s="60">
        <v>80</v>
      </c>
      <c r="F37" s="44"/>
      <c r="G37" s="44"/>
      <c r="H37" s="44"/>
      <c r="I37" s="44"/>
      <c r="J37" s="44"/>
      <c r="K37" s="44"/>
      <c r="L37" s="44"/>
      <c r="M37" s="44"/>
      <c r="N37" s="44"/>
      <c r="O37" s="50"/>
    </row>
    <row r="38" spans="1:15" x14ac:dyDescent="0.2">
      <c r="A38" s="1" t="s">
        <v>117</v>
      </c>
      <c r="B38" s="68" t="s">
        <v>118</v>
      </c>
      <c r="C38" s="207"/>
      <c r="D38" s="208"/>
      <c r="E38" s="60">
        <v>100</v>
      </c>
      <c r="F38" s="44"/>
      <c r="G38" s="44"/>
      <c r="H38" s="44"/>
      <c r="I38" s="44"/>
      <c r="J38" s="44"/>
      <c r="K38" s="44"/>
      <c r="L38" s="44"/>
      <c r="M38" s="44"/>
      <c r="N38" s="44"/>
      <c r="O38" s="50"/>
    </row>
    <row r="39" spans="1:15" x14ac:dyDescent="0.2">
      <c r="A39" s="1" t="s">
        <v>119</v>
      </c>
      <c r="B39" s="68" t="s">
        <v>120</v>
      </c>
      <c r="C39" s="213"/>
      <c r="D39" s="214"/>
      <c r="E39" s="60">
        <v>125</v>
      </c>
      <c r="F39" s="44"/>
      <c r="G39" s="44"/>
      <c r="H39" s="44"/>
      <c r="I39" s="44"/>
      <c r="J39" s="44"/>
      <c r="K39" s="44"/>
      <c r="L39" s="44"/>
      <c r="M39" s="44"/>
      <c r="N39" s="44"/>
      <c r="O39" s="50"/>
    </row>
    <row r="40" spans="1:15" x14ac:dyDescent="0.2">
      <c r="A40" s="1" t="s">
        <v>121</v>
      </c>
      <c r="B40" s="68" t="s">
        <v>122</v>
      </c>
      <c r="C40" s="203" t="s">
        <v>161</v>
      </c>
      <c r="D40" s="204"/>
      <c r="E40" s="60"/>
      <c r="F40" s="44"/>
      <c r="G40" s="44"/>
      <c r="H40" s="44"/>
      <c r="I40" s="44"/>
      <c r="J40" s="44"/>
      <c r="K40" s="44"/>
      <c r="L40" s="44"/>
      <c r="M40" s="44"/>
      <c r="N40" s="44"/>
      <c r="O40" s="50"/>
    </row>
    <row r="41" spans="1:15" x14ac:dyDescent="0.2">
      <c r="A41" s="1" t="s">
        <v>123</v>
      </c>
      <c r="B41" s="68" t="s">
        <v>124</v>
      </c>
      <c r="C41" s="203"/>
      <c r="D41" s="204"/>
      <c r="E41" s="60" t="s">
        <v>36</v>
      </c>
      <c r="F41" s="44"/>
      <c r="G41" s="44"/>
      <c r="H41" s="44"/>
      <c r="I41" s="44"/>
      <c r="J41" s="44"/>
      <c r="K41" s="44"/>
      <c r="L41" s="44"/>
      <c r="M41" s="44"/>
      <c r="N41" s="44"/>
      <c r="O41" s="50"/>
    </row>
    <row r="42" spans="1:15" x14ac:dyDescent="0.2">
      <c r="A42" s="1" t="s">
        <v>125</v>
      </c>
      <c r="B42" s="68" t="s">
        <v>126</v>
      </c>
      <c r="C42" s="203"/>
      <c r="D42" s="204"/>
      <c r="E42" s="60" t="s">
        <v>64</v>
      </c>
      <c r="F42" s="44"/>
      <c r="G42" s="44"/>
      <c r="H42" s="44"/>
      <c r="I42" s="44"/>
      <c r="J42" s="44"/>
      <c r="K42" s="44"/>
      <c r="L42" s="44"/>
      <c r="M42" s="44"/>
      <c r="N42" s="44"/>
      <c r="O42" s="50"/>
    </row>
    <row r="43" spans="1:15" x14ac:dyDescent="0.2">
      <c r="A43" s="1" t="s">
        <v>127</v>
      </c>
      <c r="B43" s="68" t="s">
        <v>128</v>
      </c>
      <c r="C43" s="203"/>
      <c r="D43" s="204"/>
      <c r="E43" s="60" t="s">
        <v>66</v>
      </c>
      <c r="F43" s="44"/>
      <c r="G43" s="44"/>
      <c r="H43" s="44"/>
      <c r="I43" s="44"/>
      <c r="J43" s="44"/>
      <c r="K43" s="44"/>
      <c r="L43" s="44"/>
      <c r="M43" s="44"/>
      <c r="N43" s="44"/>
      <c r="O43" s="50"/>
    </row>
    <row r="44" spans="1:15" x14ac:dyDescent="0.2">
      <c r="A44" s="1" t="s">
        <v>129</v>
      </c>
      <c r="B44" s="68" t="s">
        <v>130</v>
      </c>
      <c r="C44" s="203"/>
      <c r="D44" s="204"/>
      <c r="E44" s="60" t="s">
        <v>65</v>
      </c>
      <c r="F44" s="44"/>
      <c r="G44" s="44"/>
      <c r="H44" s="44"/>
      <c r="I44" s="44"/>
      <c r="J44" s="44"/>
      <c r="K44" s="44"/>
      <c r="L44" s="44"/>
      <c r="M44" s="44"/>
      <c r="N44" s="44"/>
      <c r="O44" s="50"/>
    </row>
    <row r="45" spans="1:15" x14ac:dyDescent="0.2">
      <c r="A45" s="221" t="s">
        <v>131</v>
      </c>
      <c r="B45" s="222"/>
      <c r="C45" s="203" t="s">
        <v>83</v>
      </c>
      <c r="D45" s="204"/>
      <c r="E45" s="60"/>
      <c r="F45" s="44"/>
      <c r="G45" s="44"/>
      <c r="H45" s="44"/>
      <c r="I45" s="44"/>
      <c r="J45" s="44"/>
      <c r="K45" s="44"/>
      <c r="L45" s="44"/>
      <c r="M45" s="44"/>
      <c r="N45" s="44"/>
      <c r="O45" s="50"/>
    </row>
    <row r="46" spans="1:15" x14ac:dyDescent="0.2">
      <c r="A46" s="46" t="s">
        <v>132</v>
      </c>
      <c r="B46" s="70" t="s">
        <v>133</v>
      </c>
      <c r="C46" s="203"/>
      <c r="D46" s="204"/>
      <c r="E46" s="60">
        <v>0</v>
      </c>
      <c r="F46" s="44"/>
      <c r="G46" s="44"/>
      <c r="H46" s="44"/>
      <c r="I46" s="44"/>
      <c r="J46" s="44"/>
      <c r="K46" s="44"/>
      <c r="L46" s="44"/>
      <c r="M46" s="44"/>
      <c r="N46" s="44"/>
      <c r="O46" s="50"/>
    </row>
    <row r="47" spans="1:15" x14ac:dyDescent="0.2">
      <c r="A47" s="46" t="s">
        <v>134</v>
      </c>
      <c r="B47" s="70" t="s">
        <v>135</v>
      </c>
      <c r="C47" s="203"/>
      <c r="D47" s="204"/>
      <c r="E47" s="60">
        <v>2</v>
      </c>
      <c r="F47" s="44"/>
      <c r="G47" s="44"/>
      <c r="H47" s="44"/>
      <c r="I47" s="44"/>
      <c r="J47" s="44"/>
      <c r="K47" s="44"/>
      <c r="L47" s="44"/>
      <c r="M47" s="44"/>
      <c r="N47" s="44"/>
      <c r="O47" s="50"/>
    </row>
    <row r="48" spans="1:15" x14ac:dyDescent="0.2">
      <c r="A48" s="1" t="s">
        <v>136</v>
      </c>
      <c r="B48" s="67" t="s">
        <v>137</v>
      </c>
      <c r="C48" s="203"/>
      <c r="D48" s="204"/>
      <c r="E48" s="60">
        <v>4</v>
      </c>
      <c r="F48" s="44"/>
      <c r="G48" s="44"/>
      <c r="H48" s="44"/>
      <c r="I48" s="44"/>
      <c r="J48" s="44"/>
      <c r="K48" s="44"/>
      <c r="L48" s="44"/>
      <c r="M48" s="44"/>
      <c r="N48" s="44"/>
      <c r="O48" s="50"/>
    </row>
    <row r="49" spans="1:15" x14ac:dyDescent="0.2">
      <c r="A49" s="1" t="s">
        <v>138</v>
      </c>
      <c r="B49" s="67" t="s">
        <v>139</v>
      </c>
      <c r="C49" s="203" t="s">
        <v>84</v>
      </c>
      <c r="D49" s="204"/>
      <c r="E49" s="60"/>
      <c r="F49" s="44"/>
      <c r="G49" s="44"/>
      <c r="H49" s="44"/>
      <c r="I49" s="44"/>
      <c r="J49" s="44"/>
      <c r="K49" s="44"/>
      <c r="L49" s="44"/>
      <c r="M49" s="44"/>
      <c r="N49" s="44"/>
      <c r="O49" s="50"/>
    </row>
    <row r="50" spans="1:15" x14ac:dyDescent="0.2">
      <c r="A50" s="1" t="s">
        <v>140</v>
      </c>
      <c r="B50" s="68" t="s">
        <v>141</v>
      </c>
      <c r="C50" s="203"/>
      <c r="D50" s="204"/>
      <c r="E50" s="60">
        <v>0</v>
      </c>
      <c r="F50" s="44"/>
      <c r="G50" s="44"/>
      <c r="H50" s="44"/>
      <c r="I50" s="44"/>
      <c r="J50" s="44"/>
      <c r="K50" s="44"/>
      <c r="L50" s="44"/>
      <c r="M50" s="44"/>
      <c r="N50" s="44"/>
      <c r="O50" s="50"/>
    </row>
    <row r="51" spans="1:15" x14ac:dyDescent="0.2">
      <c r="A51" s="1" t="s">
        <v>142</v>
      </c>
      <c r="B51" s="68" t="s">
        <v>143</v>
      </c>
      <c r="C51" s="203"/>
      <c r="D51" s="204"/>
      <c r="E51" s="60">
        <v>2</v>
      </c>
      <c r="F51" s="44"/>
      <c r="G51" s="44"/>
      <c r="H51" s="44"/>
      <c r="I51" s="44"/>
      <c r="J51" s="44"/>
      <c r="K51" s="44"/>
      <c r="L51" s="44"/>
      <c r="M51" s="44"/>
      <c r="N51" s="44"/>
      <c r="O51" s="50"/>
    </row>
    <row r="52" spans="1:15" x14ac:dyDescent="0.2">
      <c r="A52" s="1" t="s">
        <v>144</v>
      </c>
      <c r="B52" s="68" t="s">
        <v>145</v>
      </c>
      <c r="C52" s="203"/>
      <c r="D52" s="204"/>
      <c r="E52" s="60">
        <v>4</v>
      </c>
      <c r="F52" s="44"/>
      <c r="G52" s="44"/>
      <c r="H52" s="44"/>
      <c r="I52" s="44"/>
      <c r="J52" s="44"/>
      <c r="K52" s="44"/>
      <c r="L52" s="44"/>
      <c r="M52" s="44"/>
      <c r="N52" s="44"/>
      <c r="O52" s="50"/>
    </row>
    <row r="53" spans="1:15" x14ac:dyDescent="0.2">
      <c r="A53" s="1" t="s">
        <v>25</v>
      </c>
      <c r="B53" s="68" t="s">
        <v>146</v>
      </c>
      <c r="C53" s="203" t="s">
        <v>75</v>
      </c>
      <c r="D53" s="204"/>
      <c r="E53" s="60"/>
      <c r="F53" s="44"/>
      <c r="G53" s="44"/>
      <c r="H53" s="44"/>
      <c r="I53" s="44"/>
      <c r="J53" s="44"/>
      <c r="K53" s="44"/>
      <c r="L53" s="44"/>
      <c r="M53" s="44"/>
      <c r="N53" s="44"/>
      <c r="O53" s="50"/>
    </row>
    <row r="54" spans="1:15" x14ac:dyDescent="0.2">
      <c r="A54" s="1" t="s">
        <v>147</v>
      </c>
      <c r="B54" s="68" t="s">
        <v>148</v>
      </c>
      <c r="C54" s="203"/>
      <c r="D54" s="204"/>
      <c r="E54" s="60">
        <v>24</v>
      </c>
      <c r="F54" s="44"/>
      <c r="G54" s="44"/>
      <c r="H54" s="44"/>
      <c r="I54" s="44"/>
      <c r="J54" s="44"/>
      <c r="K54" s="44"/>
      <c r="L54" s="44"/>
      <c r="M54" s="44"/>
      <c r="N54" s="44"/>
      <c r="O54" s="50"/>
    </row>
    <row r="55" spans="1:15" ht="11.25" customHeight="1" x14ac:dyDescent="0.2">
      <c r="A55" s="1" t="s">
        <v>149</v>
      </c>
      <c r="B55" s="68" t="s">
        <v>150</v>
      </c>
      <c r="C55" s="203"/>
      <c r="D55" s="204"/>
      <c r="E55" s="60">
        <v>220</v>
      </c>
      <c r="F55" s="44"/>
      <c r="G55" s="44"/>
      <c r="H55" s="44"/>
      <c r="I55" s="44"/>
      <c r="J55" s="44"/>
      <c r="K55" s="44"/>
      <c r="L55" s="44"/>
      <c r="M55" s="44"/>
      <c r="N55" s="44"/>
      <c r="O55" s="50"/>
    </row>
    <row r="56" spans="1:15" x14ac:dyDescent="0.2">
      <c r="A56" s="1" t="s">
        <v>151</v>
      </c>
      <c r="B56" s="68" t="s">
        <v>152</v>
      </c>
      <c r="C56" s="203" t="s">
        <v>160</v>
      </c>
      <c r="D56" s="204"/>
      <c r="E56" s="60"/>
      <c r="F56" s="44"/>
      <c r="G56" s="44"/>
      <c r="H56" s="44"/>
      <c r="I56" s="44"/>
      <c r="J56" s="44"/>
      <c r="K56" s="44"/>
      <c r="L56" s="44"/>
      <c r="M56" s="44"/>
      <c r="N56" s="44"/>
      <c r="O56" s="50"/>
    </row>
    <row r="57" spans="1:15" ht="12" thickBot="1" x14ac:dyDescent="0.25">
      <c r="A57" s="2" t="s">
        <v>153</v>
      </c>
      <c r="B57" s="71" t="s">
        <v>154</v>
      </c>
      <c r="C57" s="203"/>
      <c r="D57" s="204"/>
      <c r="E57" s="60" t="s">
        <v>36</v>
      </c>
      <c r="F57" s="44"/>
      <c r="G57" s="44"/>
      <c r="H57" s="44"/>
      <c r="I57" s="44"/>
      <c r="J57" s="44"/>
      <c r="K57" s="44"/>
      <c r="L57" s="44"/>
      <c r="M57" s="44"/>
      <c r="N57" s="44"/>
      <c r="O57" s="50"/>
    </row>
    <row r="58" spans="1:15" x14ac:dyDescent="0.2">
      <c r="C58" s="203"/>
      <c r="D58" s="204"/>
      <c r="E58" s="60" t="s">
        <v>64</v>
      </c>
      <c r="F58" s="44"/>
      <c r="G58" s="44"/>
      <c r="H58" s="44"/>
      <c r="I58" s="44"/>
      <c r="J58" s="44"/>
      <c r="K58" s="44"/>
      <c r="L58" s="44"/>
      <c r="M58" s="44"/>
      <c r="N58" s="44"/>
      <c r="O58" s="50"/>
    </row>
    <row r="59" spans="1:15" x14ac:dyDescent="0.2">
      <c r="C59" s="203"/>
      <c r="D59" s="204"/>
      <c r="E59" s="60" t="s">
        <v>66</v>
      </c>
      <c r="F59" s="44"/>
      <c r="G59" s="44"/>
      <c r="H59" s="44"/>
      <c r="I59" s="44"/>
      <c r="J59" s="44"/>
      <c r="K59" s="44"/>
      <c r="L59" s="44"/>
      <c r="M59" s="44"/>
      <c r="N59" s="44"/>
      <c r="O59" s="50"/>
    </row>
    <row r="60" spans="1:15" x14ac:dyDescent="0.2">
      <c r="C60" s="205"/>
      <c r="D60" s="206"/>
      <c r="E60" s="65" t="s">
        <v>65</v>
      </c>
      <c r="F60" s="44"/>
      <c r="G60" s="44"/>
      <c r="H60" s="44"/>
      <c r="I60" s="44"/>
      <c r="J60" s="44"/>
      <c r="K60" s="44"/>
      <c r="L60" s="44"/>
      <c r="M60" s="44"/>
      <c r="N60" s="44"/>
      <c r="O60" s="50"/>
    </row>
    <row r="61" spans="1:15" x14ac:dyDescent="0.2">
      <c r="C61" s="203" t="s">
        <v>163</v>
      </c>
      <c r="D61" s="204"/>
      <c r="E61" s="60"/>
      <c r="F61" s="44"/>
      <c r="G61" s="44"/>
      <c r="H61" s="44"/>
      <c r="I61" s="44"/>
      <c r="J61" s="44"/>
      <c r="K61" s="44"/>
      <c r="L61" s="44"/>
      <c r="M61" s="44"/>
      <c r="N61" s="44"/>
      <c r="O61" s="50"/>
    </row>
    <row r="62" spans="1:15" x14ac:dyDescent="0.2">
      <c r="C62" s="203"/>
      <c r="D62" s="204"/>
      <c r="E62" s="60" t="s">
        <v>36</v>
      </c>
      <c r="F62" s="44"/>
      <c r="G62" s="44"/>
      <c r="H62" s="44"/>
      <c r="I62" s="44"/>
      <c r="J62" s="44"/>
      <c r="K62" s="44"/>
      <c r="L62" s="44"/>
      <c r="M62" s="44"/>
      <c r="N62" s="44"/>
      <c r="O62" s="50"/>
    </row>
    <row r="63" spans="1:15" x14ac:dyDescent="0.2">
      <c r="C63" s="203"/>
      <c r="D63" s="204"/>
      <c r="E63" s="60" t="s">
        <v>58</v>
      </c>
      <c r="F63" s="44"/>
      <c r="G63" s="44"/>
      <c r="H63" s="44"/>
      <c r="I63" s="44"/>
      <c r="J63" s="44"/>
      <c r="K63" s="44"/>
      <c r="L63" s="44"/>
      <c r="M63" s="44"/>
      <c r="N63" s="44"/>
      <c r="O63" s="50"/>
    </row>
    <row r="64" spans="1:15" x14ac:dyDescent="0.2">
      <c r="C64" s="203" t="s">
        <v>170</v>
      </c>
      <c r="D64" s="204"/>
      <c r="E64" s="60"/>
      <c r="F64" s="44"/>
      <c r="G64" s="44"/>
      <c r="H64" s="44"/>
      <c r="I64" s="44"/>
      <c r="J64" s="44"/>
      <c r="K64" s="44"/>
      <c r="L64" s="44"/>
      <c r="M64" s="44"/>
      <c r="N64" s="44"/>
      <c r="O64" s="50"/>
    </row>
    <row r="65" spans="3:15" x14ac:dyDescent="0.2">
      <c r="C65" s="203"/>
      <c r="D65" s="204"/>
      <c r="E65" s="60" t="s">
        <v>171</v>
      </c>
      <c r="F65" s="44"/>
      <c r="G65" s="44"/>
      <c r="H65" s="44"/>
      <c r="I65" s="44"/>
      <c r="J65" s="44"/>
      <c r="K65" s="44"/>
      <c r="L65" s="44"/>
      <c r="M65" s="44"/>
      <c r="N65" s="44"/>
      <c r="O65" s="50"/>
    </row>
    <row r="66" spans="3:15" x14ac:dyDescent="0.2">
      <c r="C66" s="203"/>
      <c r="D66" s="204"/>
      <c r="E66" s="84" t="s">
        <v>172</v>
      </c>
      <c r="F66" s="83"/>
      <c r="G66" s="44"/>
      <c r="H66" s="44"/>
      <c r="I66" s="44"/>
      <c r="J66" s="44"/>
      <c r="K66" s="44"/>
      <c r="L66" s="44"/>
      <c r="M66" s="44"/>
      <c r="N66" s="44"/>
      <c r="O66" s="50"/>
    </row>
    <row r="67" spans="3:15" x14ac:dyDescent="0.2">
      <c r="C67" s="207" t="s">
        <v>175</v>
      </c>
      <c r="D67" s="208"/>
      <c r="E67" s="85"/>
      <c r="F67" s="83"/>
      <c r="G67" s="44"/>
      <c r="H67" s="44"/>
      <c r="I67" s="44"/>
      <c r="J67" s="44"/>
      <c r="K67" s="44"/>
      <c r="L67" s="44"/>
      <c r="M67" s="44"/>
      <c r="N67" s="44"/>
      <c r="O67" s="50"/>
    </row>
    <row r="68" spans="3:15" x14ac:dyDescent="0.2">
      <c r="C68" s="207"/>
      <c r="D68" s="208"/>
      <c r="E68" s="60">
        <v>0</v>
      </c>
      <c r="F68" s="44"/>
      <c r="G68" s="44"/>
      <c r="H68" s="44"/>
      <c r="I68" s="44"/>
      <c r="J68" s="44"/>
      <c r="K68" s="44"/>
      <c r="L68" s="44"/>
      <c r="M68" s="44"/>
      <c r="N68" s="44"/>
      <c r="O68" s="50"/>
    </row>
    <row r="69" spans="3:15" x14ac:dyDescent="0.2">
      <c r="C69" s="207"/>
      <c r="D69" s="208"/>
      <c r="E69" s="60">
        <v>1</v>
      </c>
      <c r="F69" s="44"/>
      <c r="G69" s="44"/>
      <c r="H69" s="44"/>
      <c r="I69" s="44"/>
      <c r="J69" s="44"/>
      <c r="K69" s="44"/>
      <c r="L69" s="44"/>
      <c r="M69" s="44"/>
      <c r="N69" s="44"/>
      <c r="O69" s="50"/>
    </row>
    <row r="70" spans="3:15" x14ac:dyDescent="0.2">
      <c r="C70" s="207"/>
      <c r="D70" s="208"/>
      <c r="E70" s="60">
        <v>3</v>
      </c>
      <c r="F70" s="44"/>
      <c r="G70" s="44"/>
      <c r="H70" s="44"/>
      <c r="I70" s="44"/>
      <c r="J70" s="44"/>
      <c r="K70" s="44"/>
      <c r="L70" s="44"/>
      <c r="M70" s="44"/>
      <c r="N70" s="44"/>
      <c r="O70" s="50"/>
    </row>
    <row r="71" spans="3:15" x14ac:dyDescent="0.2">
      <c r="C71" s="207"/>
      <c r="D71" s="208"/>
      <c r="E71" s="60">
        <v>5</v>
      </c>
      <c r="F71" s="44"/>
      <c r="G71" s="44"/>
      <c r="H71" s="44"/>
      <c r="I71" s="44"/>
      <c r="J71" s="44"/>
      <c r="K71" s="44"/>
      <c r="L71" s="44"/>
      <c r="M71" s="44"/>
      <c r="N71" s="44"/>
      <c r="O71" s="50"/>
    </row>
    <row r="72" spans="3:15" x14ac:dyDescent="0.2">
      <c r="C72" s="207"/>
      <c r="D72" s="208"/>
      <c r="E72" s="60">
        <v>7</v>
      </c>
      <c r="F72" s="44"/>
      <c r="G72" s="44"/>
      <c r="H72" s="44"/>
      <c r="I72" s="44"/>
      <c r="J72" s="44"/>
      <c r="K72" s="44"/>
      <c r="L72" s="44"/>
      <c r="M72" s="44"/>
      <c r="N72" s="44"/>
      <c r="O72" s="50"/>
    </row>
    <row r="73" spans="3:15" ht="12" thickBot="1" x14ac:dyDescent="0.25">
      <c r="C73" s="209"/>
      <c r="D73" s="210"/>
      <c r="E73" s="61">
        <v>9</v>
      </c>
      <c r="F73" s="51"/>
      <c r="G73" s="51"/>
      <c r="H73" s="51"/>
      <c r="I73" s="51"/>
      <c r="J73" s="51"/>
      <c r="K73" s="51"/>
      <c r="L73" s="51"/>
      <c r="M73" s="51"/>
      <c r="N73" s="51"/>
      <c r="O73" s="52"/>
    </row>
  </sheetData>
  <mergeCells count="22">
    <mergeCell ref="C67:D73"/>
    <mergeCell ref="C5:D8"/>
    <mergeCell ref="A1:A4"/>
    <mergeCell ref="B1:B4"/>
    <mergeCell ref="A45:B45"/>
    <mergeCell ref="A17:B17"/>
    <mergeCell ref="A5:B5"/>
    <mergeCell ref="C40:D44"/>
    <mergeCell ref="C23:D25"/>
    <mergeCell ref="D14:D19"/>
    <mergeCell ref="C26:D39"/>
    <mergeCell ref="C64:D66"/>
    <mergeCell ref="C45:D48"/>
    <mergeCell ref="C49:D52"/>
    <mergeCell ref="C53:D55"/>
    <mergeCell ref="C9:D12"/>
    <mergeCell ref="C13:E13"/>
    <mergeCell ref="C17:C19"/>
    <mergeCell ref="C14:C16"/>
    <mergeCell ref="C20:D22"/>
    <mergeCell ref="C61:D63"/>
    <mergeCell ref="C56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Опросный лист 1 (заполняется)</vt:lpstr>
      <vt:lpstr>Опросный лист 2 (заполняется)</vt:lpstr>
      <vt:lpstr>Опросный лист 3 (заполняется)</vt:lpstr>
      <vt:lpstr>ЗАКАЗНАЯ СПЕЦИФИКАЦИЯ</vt:lpstr>
      <vt:lpstr>-</vt:lpstr>
      <vt:lpstr>'Опросный лист 1 (заполняется)'!Область_печати</vt:lpstr>
      <vt:lpstr>'Опросный лист 2 (заполняется)'!Область_печати</vt:lpstr>
      <vt:lpstr>'Опросный лист 3 (заполняется)'!Область_печати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Кирилл Лойко</cp:lastModifiedBy>
  <dcterms:modified xsi:type="dcterms:W3CDTF">2022-02-04T11:40:15Z</dcterms:modified>
</cp:coreProperties>
</file>